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dixo\Dropbox\Desktop\"/>
    </mc:Choice>
  </mc:AlternateContent>
  <xr:revisionPtr revIDLastSave="0" documentId="13_ncr:1_{6E57915B-91D2-47F8-BA7A-EDF1E4D34716}" xr6:coauthVersionLast="47" xr6:coauthVersionMax="47" xr10:uidLastSave="{00000000-0000-0000-0000-000000000000}"/>
  <workbookProtection lockStructure="1"/>
  <bookViews>
    <workbookView xWindow="28680" yWindow="-120" windowWidth="29040" windowHeight="15840" xr2:uid="{00000000-000D-0000-FFFF-FFFF00000000}"/>
  </bookViews>
  <sheets>
    <sheet name="Life Cycle Costing" sheetId="1" r:id="rId1"/>
    <sheet name="Summary Results" sheetId="5" r:id="rId2"/>
    <sheet name="Detailed Results" sheetId="2" state="hidden" r:id="rId3"/>
  </sheets>
  <definedNames>
    <definedName name="discrate">'Life Cycle Costing'!$P$3</definedName>
    <definedName name="eirate">'Life Cycle Costing'!$M$3</definedName>
    <definedName name="horizon">'Summary Results'!$D$19</definedName>
    <definedName name="Main">'Life Cycle Costing'!$B$5:$AJ$39</definedName>
    <definedName name="oirate">'Life Cycle Costing'!$I$3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9" roundtripDataSignature="AMtx7mj6sH1c/uzomBsGWRgYKDh/1LbmMA=="/>
    </ext>
  </extLst>
</workbook>
</file>

<file path=xl/calcChain.xml><?xml version="1.0" encoding="utf-8"?>
<calcChain xmlns="http://schemas.openxmlformats.org/spreadsheetml/2006/main">
  <c r="C13" i="1" l="1"/>
  <c r="C25" i="1"/>
  <c r="AK6" i="1"/>
  <c r="D6" i="5"/>
  <c r="C6" i="5"/>
  <c r="C37" i="1"/>
  <c r="O43" i="1"/>
  <c r="S41" i="1"/>
  <c r="S43" i="1" s="1"/>
  <c r="T41" i="1"/>
  <c r="T43" i="1" s="1"/>
  <c r="U41" i="1"/>
  <c r="U43" i="1" s="1"/>
  <c r="V41" i="1"/>
  <c r="V43" i="1" s="1"/>
  <c r="W41" i="1"/>
  <c r="W43" i="1" s="1"/>
  <c r="X41" i="1"/>
  <c r="X43" i="1" s="1"/>
  <c r="Y41" i="1"/>
  <c r="Y43" i="1" s="1"/>
  <c r="Z41" i="1"/>
  <c r="Z43" i="1" s="1"/>
  <c r="AA41" i="1"/>
  <c r="AA43" i="1" s="1"/>
  <c r="AB41" i="1"/>
  <c r="AB43" i="1" s="1"/>
  <c r="AC41" i="1"/>
  <c r="AC43" i="1" s="1"/>
  <c r="AD41" i="1"/>
  <c r="AD43" i="1" s="1"/>
  <c r="AE41" i="1"/>
  <c r="AE43" i="1" s="1"/>
  <c r="AF41" i="1"/>
  <c r="AF43" i="1" s="1"/>
  <c r="AG41" i="1"/>
  <c r="AG43" i="1" s="1"/>
  <c r="AH41" i="1"/>
  <c r="AH43" i="1" s="1"/>
  <c r="AI41" i="1"/>
  <c r="AI43" i="1" s="1"/>
  <c r="O41" i="1"/>
  <c r="P41" i="1"/>
  <c r="P43" i="1" s="1"/>
  <c r="Q41" i="1"/>
  <c r="Q43" i="1" s="1"/>
  <c r="R41" i="1"/>
  <c r="R43" i="1" s="1"/>
  <c r="N41" i="1"/>
  <c r="N43" i="1" s="1"/>
  <c r="F41" i="1"/>
  <c r="F43" i="1" s="1"/>
  <c r="M41" i="1"/>
  <c r="M43" i="1" s="1"/>
  <c r="L41" i="1"/>
  <c r="L43" i="1" s="1"/>
  <c r="K41" i="1"/>
  <c r="K43" i="1" s="1"/>
  <c r="J41" i="1"/>
  <c r="J43" i="1" s="1"/>
  <c r="I41" i="1"/>
  <c r="I43" i="1" s="1"/>
  <c r="H41" i="1"/>
  <c r="H43" i="1" s="1"/>
  <c r="G41" i="1"/>
  <c r="G43" i="1" s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E38" i="1" s="1"/>
  <c r="E33" i="1"/>
  <c r="AC33" i="1" s="1"/>
  <c r="E32" i="1"/>
  <c r="AA32" i="1" s="1"/>
  <c r="AI30" i="1"/>
  <c r="AH30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AI24" i="1"/>
  <c r="AH24" i="1"/>
  <c r="AG24" i="1"/>
  <c r="AF24" i="1"/>
  <c r="AE24" i="1"/>
  <c r="AD24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E26" i="1" s="1"/>
  <c r="E21" i="1"/>
  <c r="AE21" i="1" s="1"/>
  <c r="E20" i="1"/>
  <c r="AE20" i="1" s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E14" i="1" s="1"/>
  <c r="E9" i="1"/>
  <c r="AF9" i="1" s="1"/>
  <c r="E8" i="1"/>
  <c r="AE8" i="1" s="1"/>
  <c r="AI6" i="1"/>
  <c r="AH6" i="1"/>
  <c r="AG6" i="1"/>
  <c r="AF6" i="1"/>
  <c r="AE6" i="1"/>
  <c r="AD6" i="1"/>
  <c r="AC6" i="1"/>
  <c r="AB6" i="1"/>
  <c r="AA6" i="1"/>
  <c r="Z6" i="1"/>
  <c r="Y6" i="1"/>
  <c r="X6" i="1"/>
  <c r="W6" i="1"/>
  <c r="V6" i="1"/>
  <c r="U6" i="1"/>
  <c r="T6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E6" i="1"/>
  <c r="H13" i="1" l="1"/>
  <c r="H14" i="1" s="1"/>
  <c r="D6" i="2" s="1" a="1"/>
  <c r="D6" i="2" s="1"/>
  <c r="AJ18" i="1"/>
  <c r="D7" i="5" s="1"/>
  <c r="H25" i="1"/>
  <c r="H26" i="1" s="1"/>
  <c r="H6" i="2" s="1" a="1"/>
  <c r="H6" i="2" s="1"/>
  <c r="O13" i="1"/>
  <c r="G13" i="1"/>
  <c r="N13" i="1"/>
  <c r="N14" i="1" s="1"/>
  <c r="D12" i="2" s="1" a="1"/>
  <c r="D12" i="2" s="1"/>
  <c r="AA13" i="1"/>
  <c r="AA14" i="1" s="1"/>
  <c r="D25" i="2" s="1" a="1"/>
  <c r="D25" i="2" s="1"/>
  <c r="S13" i="1"/>
  <c r="S14" i="1" s="1"/>
  <c r="D17" i="2" s="1" a="1"/>
  <c r="D17" i="2" s="1"/>
  <c r="G37" i="1"/>
  <c r="AB13" i="1"/>
  <c r="AB14" i="1" s="1"/>
  <c r="D26" i="2" s="1" a="1"/>
  <c r="D26" i="2" s="1"/>
  <c r="T13" i="1"/>
  <c r="T14" i="1" s="1"/>
  <c r="D18" i="2" s="1" a="1"/>
  <c r="D18" i="2" s="1"/>
  <c r="M13" i="1"/>
  <c r="M14" i="1" s="1"/>
  <c r="D11" i="2" s="1" a="1"/>
  <c r="D11" i="2" s="1"/>
  <c r="AI25" i="1"/>
  <c r="AI26" i="1" s="1"/>
  <c r="J13" i="1"/>
  <c r="J14" i="1" s="1"/>
  <c r="D8" i="2" s="1" a="1"/>
  <c r="D8" i="2" s="1"/>
  <c r="AH13" i="1"/>
  <c r="AH14" i="1" s="1"/>
  <c r="D32" i="2" s="1" a="1"/>
  <c r="D32" i="2" s="1"/>
  <c r="R13" i="1"/>
  <c r="R14" i="1" s="1"/>
  <c r="D16" i="2" s="1" a="1"/>
  <c r="D16" i="2" s="1"/>
  <c r="Y13" i="1"/>
  <c r="X13" i="1"/>
  <c r="X14" i="1" s="1"/>
  <c r="D22" i="2" s="1" a="1"/>
  <c r="D22" i="2" s="1"/>
  <c r="K13" i="1"/>
  <c r="K14" i="1" s="1"/>
  <c r="D9" i="2" s="1" a="1"/>
  <c r="D9" i="2" s="1"/>
  <c r="AE13" i="1"/>
  <c r="AE14" i="1" s="1"/>
  <c r="D29" i="2" s="1" a="1"/>
  <c r="D29" i="2" s="1"/>
  <c r="V13" i="1"/>
  <c r="V14" i="1" s="1"/>
  <c r="D20" i="2" s="1" a="1"/>
  <c r="D20" i="2" s="1"/>
  <c r="F13" i="1"/>
  <c r="F14" i="1" s="1"/>
  <c r="D4" i="2" s="1" a="1"/>
  <c r="D4" i="2" s="1"/>
  <c r="I13" i="1"/>
  <c r="I14" i="1" s="1"/>
  <c r="D7" i="2" s="1" a="1"/>
  <c r="D7" i="2" s="1"/>
  <c r="Z13" i="1"/>
  <c r="Z14" i="1" s="1"/>
  <c r="D24" i="2" s="1" a="1"/>
  <c r="D24" i="2" s="1"/>
  <c r="AG13" i="1"/>
  <c r="AG14" i="1" s="1"/>
  <c r="D31" i="2" s="1" a="1"/>
  <c r="D31" i="2" s="1"/>
  <c r="Q13" i="1"/>
  <c r="Q14" i="1" s="1"/>
  <c r="D15" i="2" s="1" a="1"/>
  <c r="D15" i="2" s="1"/>
  <c r="L13" i="1"/>
  <c r="L14" i="1" s="1"/>
  <c r="D10" i="2" s="1" a="1"/>
  <c r="D10" i="2" s="1"/>
  <c r="AF13" i="1"/>
  <c r="AF14" i="1" s="1"/>
  <c r="D30" i="2" s="1" a="1"/>
  <c r="D30" i="2" s="1"/>
  <c r="P13" i="1"/>
  <c r="P14" i="1" s="1"/>
  <c r="D14" i="2" s="1" a="1"/>
  <c r="D14" i="2" s="1"/>
  <c r="O14" i="1"/>
  <c r="D13" i="2" s="1" a="1"/>
  <c r="D13" i="2" s="1"/>
  <c r="W13" i="1"/>
  <c r="W14" i="1" s="1"/>
  <c r="D21" i="2" s="1" a="1"/>
  <c r="D21" i="2" s="1"/>
  <c r="AC13" i="1"/>
  <c r="AC14" i="1" s="1"/>
  <c r="D27" i="2" s="1" a="1"/>
  <c r="D27" i="2" s="1"/>
  <c r="U13" i="1"/>
  <c r="U14" i="1" s="1"/>
  <c r="D19" i="2" s="1" a="1"/>
  <c r="D19" i="2" s="1"/>
  <c r="AD13" i="1"/>
  <c r="AD14" i="1" s="1"/>
  <c r="D28" i="2" s="1" a="1"/>
  <c r="D28" i="2" s="1"/>
  <c r="H9" i="1"/>
  <c r="J9" i="1"/>
  <c r="Q9" i="1"/>
  <c r="S9" i="1"/>
  <c r="E10" i="1"/>
  <c r="Z9" i="1"/>
  <c r="AC9" i="1"/>
  <c r="R9" i="1"/>
  <c r="L8" i="1"/>
  <c r="M8" i="1"/>
  <c r="U8" i="1"/>
  <c r="V8" i="1"/>
  <c r="AD8" i="1"/>
  <c r="AJ6" i="1"/>
  <c r="C7" i="5" s="1"/>
  <c r="P3" i="2" s="1"/>
  <c r="AA9" i="1"/>
  <c r="I9" i="1"/>
  <c r="AI9" i="1"/>
  <c r="AI13" i="1"/>
  <c r="AI14" i="1" s="1"/>
  <c r="D33" i="2" s="1" a="1"/>
  <c r="D33" i="2" s="1"/>
  <c r="O25" i="1"/>
  <c r="O26" i="1" s="1"/>
  <c r="N25" i="1"/>
  <c r="N26" i="1" s="1"/>
  <c r="G25" i="1"/>
  <c r="G26" i="1" s="1"/>
  <c r="H5" i="2" s="1" a="1"/>
  <c r="H5" i="2" s="1"/>
  <c r="AH25" i="1"/>
  <c r="AH26" i="1" s="1"/>
  <c r="H32" i="2" s="1" a="1"/>
  <c r="H32" i="2" s="1"/>
  <c r="L25" i="1"/>
  <c r="L26" i="1" s="1"/>
  <c r="Y21" i="1"/>
  <c r="Z21" i="1"/>
  <c r="F25" i="1"/>
  <c r="F26" i="1" s="1"/>
  <c r="AH21" i="1"/>
  <c r="AG25" i="1"/>
  <c r="AG26" i="1" s="1"/>
  <c r="Y25" i="1"/>
  <c r="Y26" i="1" s="1"/>
  <c r="H23" i="2" s="1" a="1"/>
  <c r="H23" i="2" s="1"/>
  <c r="Q25" i="1"/>
  <c r="Q26" i="1" s="1"/>
  <c r="H15" i="2" s="1" a="1"/>
  <c r="H15" i="2" s="1"/>
  <c r="AD25" i="1"/>
  <c r="AD26" i="1" s="1"/>
  <c r="K25" i="1"/>
  <c r="K26" i="1" s="1"/>
  <c r="L21" i="1"/>
  <c r="P21" i="1"/>
  <c r="AF25" i="1"/>
  <c r="AF26" i="1" s="1"/>
  <c r="X25" i="1"/>
  <c r="X26" i="1" s="1"/>
  <c r="Z25" i="1"/>
  <c r="Z26" i="1" s="1"/>
  <c r="J25" i="1"/>
  <c r="J26" i="1" s="1"/>
  <c r="G21" i="1"/>
  <c r="M25" i="1"/>
  <c r="M26" i="1" s="1"/>
  <c r="I21" i="1"/>
  <c r="Q21" i="1"/>
  <c r="W25" i="1"/>
  <c r="W26" i="1" s="1"/>
  <c r="V25" i="1"/>
  <c r="V26" i="1" s="1"/>
  <c r="I25" i="1"/>
  <c r="I26" i="1" s="1"/>
  <c r="H7" i="2" s="1" a="1"/>
  <c r="H7" i="2" s="1"/>
  <c r="H21" i="1"/>
  <c r="AB21" i="1"/>
  <c r="R21" i="1"/>
  <c r="R25" i="1"/>
  <c r="R26" i="1" s="1"/>
  <c r="H16" i="2" s="1" a="1"/>
  <c r="H16" i="2" s="1"/>
  <c r="F20" i="1"/>
  <c r="U20" i="1"/>
  <c r="O20" i="1"/>
  <c r="E22" i="1"/>
  <c r="AI20" i="1"/>
  <c r="AA20" i="1"/>
  <c r="AD20" i="1"/>
  <c r="AG20" i="1"/>
  <c r="Q20" i="1"/>
  <c r="H20" i="1"/>
  <c r="K20" i="1"/>
  <c r="V20" i="1"/>
  <c r="L20" i="1"/>
  <c r="X20" i="1"/>
  <c r="AE22" i="1"/>
  <c r="G29" i="2" s="1" a="1"/>
  <c r="G29" i="2" s="1"/>
  <c r="M20" i="1"/>
  <c r="Y20" i="1"/>
  <c r="P20" i="1"/>
  <c r="AC20" i="1"/>
  <c r="G20" i="1"/>
  <c r="T20" i="1"/>
  <c r="C38" i="1"/>
  <c r="P32" i="1"/>
  <c r="V32" i="1"/>
  <c r="I32" i="1"/>
  <c r="AC25" i="1"/>
  <c r="AC26" i="1" s="1"/>
  <c r="U25" i="1"/>
  <c r="U26" i="1" s="1"/>
  <c r="AB25" i="1"/>
  <c r="AB26" i="1" s="1"/>
  <c r="H26" i="2" s="1" a="1"/>
  <c r="H26" i="2" s="1"/>
  <c r="T25" i="1"/>
  <c r="T26" i="1" s="1"/>
  <c r="AA25" i="1"/>
  <c r="AA26" i="1" s="1"/>
  <c r="S25" i="1"/>
  <c r="S26" i="1" s="1"/>
  <c r="AE25" i="1"/>
  <c r="AE26" i="1" s="1"/>
  <c r="P25" i="1"/>
  <c r="P26" i="1" s="1"/>
  <c r="AI37" i="1"/>
  <c r="AI38" i="1" s="1"/>
  <c r="L33" i="2" s="1" a="1"/>
  <c r="L33" i="2" s="1"/>
  <c r="AG37" i="1"/>
  <c r="AG38" i="1" s="1"/>
  <c r="L31" i="2" s="1" a="1"/>
  <c r="L31" i="2" s="1"/>
  <c r="U37" i="1"/>
  <c r="U38" i="1" s="1"/>
  <c r="L19" i="2" s="1" a="1"/>
  <c r="L19" i="2" s="1"/>
  <c r="I37" i="1"/>
  <c r="I38" i="1" s="1"/>
  <c r="G33" i="1"/>
  <c r="Q33" i="1"/>
  <c r="AB33" i="1"/>
  <c r="AD37" i="1"/>
  <c r="AD38" i="1" s="1"/>
  <c r="S37" i="1"/>
  <c r="S38" i="1" s="1"/>
  <c r="L17" i="2" s="1" a="1"/>
  <c r="L17" i="2" s="1"/>
  <c r="O33" i="1"/>
  <c r="AD33" i="1"/>
  <c r="AC37" i="1"/>
  <c r="AC38" i="1" s="1"/>
  <c r="L27" i="2" s="1" a="1"/>
  <c r="L27" i="2" s="1"/>
  <c r="I33" i="1"/>
  <c r="T33" i="1"/>
  <c r="AE33" i="1"/>
  <c r="AB37" i="1"/>
  <c r="AB38" i="1" s="1"/>
  <c r="L26" i="2" s="1" a="1"/>
  <c r="L26" i="2" s="1"/>
  <c r="N37" i="1"/>
  <c r="N38" i="1" s="1"/>
  <c r="L12" i="2" s="1" a="1"/>
  <c r="L12" i="2" s="1"/>
  <c r="J33" i="1"/>
  <c r="V33" i="1"/>
  <c r="AF33" i="1"/>
  <c r="AA37" i="1"/>
  <c r="AA38" i="1" s="1"/>
  <c r="L25" i="2" s="1" a="1"/>
  <c r="L25" i="2" s="1"/>
  <c r="M37" i="1"/>
  <c r="M38" i="1" s="1"/>
  <c r="L11" i="2" s="1" a="1"/>
  <c r="L11" i="2" s="1"/>
  <c r="Z33" i="1"/>
  <c r="H33" i="1"/>
  <c r="L33" i="1"/>
  <c r="W33" i="1"/>
  <c r="AG33" i="1"/>
  <c r="Y37" i="1"/>
  <c r="Y38" i="1" s="1"/>
  <c r="L23" i="2" s="1" a="1"/>
  <c r="L23" i="2" s="1"/>
  <c r="L37" i="1"/>
  <c r="L38" i="1" s="1"/>
  <c r="L10" i="2" s="1" a="1"/>
  <c r="L10" i="2" s="1"/>
  <c r="Y33" i="1"/>
  <c r="F33" i="1"/>
  <c r="R33" i="1"/>
  <c r="Q37" i="1"/>
  <c r="Q38" i="1" s="1"/>
  <c r="L15" i="2" s="1" a="1"/>
  <c r="L15" i="2" s="1"/>
  <c r="N33" i="1"/>
  <c r="X33" i="1"/>
  <c r="AH33" i="1"/>
  <c r="F37" i="1"/>
  <c r="F38" i="1" s="1"/>
  <c r="V37" i="1"/>
  <c r="V38" i="1" s="1"/>
  <c r="K37" i="1"/>
  <c r="K38" i="1" s="1"/>
  <c r="L9" i="2" s="1" a="1"/>
  <c r="L9" i="2" s="1"/>
  <c r="P33" i="1"/>
  <c r="T37" i="1"/>
  <c r="T38" i="1" s="1"/>
  <c r="L18" i="2" s="1" a="1"/>
  <c r="L18" i="2" s="1"/>
  <c r="AD32" i="1"/>
  <c r="AE32" i="1"/>
  <c r="H32" i="1"/>
  <c r="F32" i="1"/>
  <c r="X32" i="1"/>
  <c r="N32" i="1"/>
  <c r="O32" i="1"/>
  <c r="W32" i="1"/>
  <c r="AH37" i="1"/>
  <c r="AH38" i="1" s="1"/>
  <c r="L32" i="2" s="1" a="1"/>
  <c r="L32" i="2" s="1"/>
  <c r="Z37" i="1"/>
  <c r="Z38" i="1" s="1"/>
  <c r="L24" i="2" s="1" a="1"/>
  <c r="L24" i="2" s="1"/>
  <c r="R37" i="1"/>
  <c r="R38" i="1" s="1"/>
  <c r="L16" i="2" s="1" a="1"/>
  <c r="L16" i="2" s="1"/>
  <c r="J37" i="1"/>
  <c r="J38" i="1" s="1"/>
  <c r="L8" i="2" s="1" a="1"/>
  <c r="L8" i="2" s="1"/>
  <c r="G38" i="1"/>
  <c r="L5" i="2" s="1" a="1"/>
  <c r="L5" i="2" s="1"/>
  <c r="AF37" i="1"/>
  <c r="AF38" i="1" s="1"/>
  <c r="L30" i="2" s="1" a="1"/>
  <c r="L30" i="2" s="1"/>
  <c r="X37" i="1"/>
  <c r="X38" i="1" s="1"/>
  <c r="P37" i="1"/>
  <c r="P38" i="1" s="1"/>
  <c r="L14" i="2" s="1" a="1"/>
  <c r="L14" i="2" s="1"/>
  <c r="H37" i="1"/>
  <c r="H38" i="1" s="1"/>
  <c r="AE37" i="1"/>
  <c r="AE38" i="1" s="1"/>
  <c r="W37" i="1"/>
  <c r="W38" i="1" s="1"/>
  <c r="L21" i="2" s="1" a="1"/>
  <c r="L21" i="2" s="1"/>
  <c r="O37" i="1"/>
  <c r="O38" i="1" s="1"/>
  <c r="L13" i="2" s="1" a="1"/>
  <c r="L13" i="2" s="1"/>
  <c r="G14" i="1"/>
  <c r="D5" i="2" s="1" a="1"/>
  <c r="D5" i="2" s="1"/>
  <c r="AI8" i="1"/>
  <c r="AA8" i="1"/>
  <c r="S8" i="1"/>
  <c r="K8" i="1"/>
  <c r="N8" i="1"/>
  <c r="W8" i="1"/>
  <c r="F8" i="1"/>
  <c r="O8" i="1"/>
  <c r="X8" i="1"/>
  <c r="AG8" i="1"/>
  <c r="K9" i="1"/>
  <c r="U9" i="1"/>
  <c r="AD9" i="1"/>
  <c r="AH20" i="1"/>
  <c r="Z20" i="1"/>
  <c r="R20" i="1"/>
  <c r="J20" i="1"/>
  <c r="N20" i="1"/>
  <c r="W20" i="1"/>
  <c r="AF20" i="1"/>
  <c r="J21" i="1"/>
  <c r="T21" i="1"/>
  <c r="AC21" i="1"/>
  <c r="K32" i="1"/>
  <c r="G8" i="1"/>
  <c r="P8" i="1"/>
  <c r="Y8" i="1"/>
  <c r="AH8" i="1"/>
  <c r="M9" i="1"/>
  <c r="V9" i="1"/>
  <c r="AE9" i="1"/>
  <c r="AE10" i="1" s="1"/>
  <c r="U21" i="1"/>
  <c r="AD21" i="1"/>
  <c r="AJ30" i="1"/>
  <c r="E39" i="1"/>
  <c r="AF8" i="1"/>
  <c r="AF10" i="1" s="1"/>
  <c r="Z8" i="1"/>
  <c r="N9" i="1"/>
  <c r="M21" i="1"/>
  <c r="V21" i="1"/>
  <c r="H8" i="1"/>
  <c r="AB9" i="1"/>
  <c r="T9" i="1"/>
  <c r="L9" i="1"/>
  <c r="W9" i="1"/>
  <c r="R8" i="1"/>
  <c r="O9" i="1"/>
  <c r="AG9" i="1"/>
  <c r="E15" i="1"/>
  <c r="AI21" i="1"/>
  <c r="AA21" i="1"/>
  <c r="S21" i="1"/>
  <c r="K21" i="1"/>
  <c r="N21" i="1"/>
  <c r="W21" i="1"/>
  <c r="AF21" i="1"/>
  <c r="Q8" i="1"/>
  <c r="I8" i="1"/>
  <c r="AB8" i="1"/>
  <c r="F9" i="1"/>
  <c r="X9" i="1"/>
  <c r="J8" i="1"/>
  <c r="T8" i="1"/>
  <c r="AC8" i="1"/>
  <c r="G9" i="1"/>
  <c r="P9" i="1"/>
  <c r="Y9" i="1"/>
  <c r="AH9" i="1"/>
  <c r="Y14" i="1"/>
  <c r="D23" i="2" s="1" a="1"/>
  <c r="D23" i="2" s="1"/>
  <c r="I20" i="1"/>
  <c r="S20" i="1"/>
  <c r="AB20" i="1"/>
  <c r="F21" i="1"/>
  <c r="O21" i="1"/>
  <c r="X21" i="1"/>
  <c r="AG21" i="1"/>
  <c r="E27" i="1"/>
  <c r="AC32" i="1"/>
  <c r="AC34" i="1" s="1"/>
  <c r="U32" i="1"/>
  <c r="M32" i="1"/>
  <c r="E34" i="1"/>
  <c r="AB32" i="1"/>
  <c r="T32" i="1"/>
  <c r="L32" i="1"/>
  <c r="AH32" i="1"/>
  <c r="Z32" i="1"/>
  <c r="R32" i="1"/>
  <c r="J32" i="1"/>
  <c r="AG32" i="1"/>
  <c r="Y32" i="1"/>
  <c r="AI32" i="1"/>
  <c r="S32" i="1"/>
  <c r="G32" i="1"/>
  <c r="AF32" i="1"/>
  <c r="Q32" i="1"/>
  <c r="K33" i="1"/>
  <c r="S33" i="1"/>
  <c r="AA33" i="1"/>
  <c r="AA34" i="1" s="1"/>
  <c r="AI33" i="1"/>
  <c r="M33" i="1"/>
  <c r="U33" i="1"/>
  <c r="L10" i="1" l="1"/>
  <c r="D14" i="5"/>
  <c r="AJ38" i="1" a="1"/>
  <c r="AJ38" i="1" s="1"/>
  <c r="Q34" i="1"/>
  <c r="K15" i="2" s="1" a="1"/>
  <c r="K15" i="2" s="1"/>
  <c r="L22" i="1"/>
  <c r="G10" i="2" s="1" a="1"/>
  <c r="G10" i="2" s="1"/>
  <c r="J10" i="1"/>
  <c r="C8" i="2" s="1" a="1"/>
  <c r="C8" i="2" s="1"/>
  <c r="V10" i="1"/>
  <c r="V15" i="1" s="1"/>
  <c r="S10" i="1"/>
  <c r="S15" i="1" s="1"/>
  <c r="Z22" i="1"/>
  <c r="G24" i="2" s="1" a="1"/>
  <c r="G24" i="2" s="1"/>
  <c r="Q10" i="1"/>
  <c r="C15" i="2" s="1" a="1"/>
  <c r="C15" i="2" s="1"/>
  <c r="Z10" i="1"/>
  <c r="Z15" i="1" s="1"/>
  <c r="AC10" i="1"/>
  <c r="C27" i="2" s="1" a="1"/>
  <c r="C27" i="2" s="1"/>
  <c r="V34" i="1"/>
  <c r="K20" i="2" s="1" a="1"/>
  <c r="K20" i="2" s="1"/>
  <c r="AC22" i="1"/>
  <c r="G27" i="2" s="1" a="1"/>
  <c r="G27" i="2" s="1"/>
  <c r="AD10" i="1"/>
  <c r="C28" i="2" s="1" a="1"/>
  <c r="C28" i="2" s="1"/>
  <c r="V22" i="1"/>
  <c r="G20" i="2" s="1" a="1"/>
  <c r="G20" i="2" s="1"/>
  <c r="G22" i="1"/>
  <c r="G5" i="2" s="1" a="1"/>
  <c r="G5" i="2" s="1"/>
  <c r="H10" i="1"/>
  <c r="C6" i="2" s="1" a="1"/>
  <c r="C6" i="2" s="1"/>
  <c r="U10" i="1"/>
  <c r="C19" i="2" s="1" a="1"/>
  <c r="C19" i="2" s="1"/>
  <c r="M10" i="1"/>
  <c r="C11" i="2" s="1" a="1"/>
  <c r="C11" i="2" s="1"/>
  <c r="R10" i="1"/>
  <c r="AB10" i="1"/>
  <c r="AB15" i="1" s="1"/>
  <c r="K22" i="1"/>
  <c r="G9" i="2" s="1" a="1"/>
  <c r="G9" i="2" s="1"/>
  <c r="AA10" i="1"/>
  <c r="AA15" i="1" s="1"/>
  <c r="AB22" i="1"/>
  <c r="G26" i="2" s="1" a="1"/>
  <c r="G26" i="2" s="1"/>
  <c r="AI22" i="1"/>
  <c r="G33" i="2" s="1" a="1"/>
  <c r="G33" i="2" s="1"/>
  <c r="Y22" i="1"/>
  <c r="G23" i="2" s="1" a="1"/>
  <c r="G23" i="2" s="1"/>
  <c r="K10" i="1"/>
  <c r="C9" i="2" s="1" a="1"/>
  <c r="C9" i="2" s="1"/>
  <c r="X22" i="1"/>
  <c r="G22" i="2" s="1" a="1"/>
  <c r="G22" i="2" s="1"/>
  <c r="I10" i="1"/>
  <c r="I15" i="1" s="1"/>
  <c r="AA22" i="1"/>
  <c r="G25" i="2" s="1" a="1"/>
  <c r="G25" i="2" s="1"/>
  <c r="P22" i="1"/>
  <c r="G14" i="2" s="1" a="1"/>
  <c r="G14" i="2" s="1"/>
  <c r="I22" i="1"/>
  <c r="G7" i="2" s="1" a="1"/>
  <c r="G7" i="2" s="1"/>
  <c r="AI10" i="1"/>
  <c r="AI15" i="1" s="1"/>
  <c r="P34" i="1"/>
  <c r="K14" i="2" s="1" a="1"/>
  <c r="K14" i="2" s="1"/>
  <c r="H22" i="1"/>
  <c r="G6" i="2" s="1" a="1"/>
  <c r="G6" i="2" s="1"/>
  <c r="W10" i="1"/>
  <c r="C21" i="2" s="1" a="1"/>
  <c r="C21" i="2" s="1"/>
  <c r="T10" i="1"/>
  <c r="T15" i="1" s="1"/>
  <c r="N10" i="1"/>
  <c r="C12" i="2" s="1" a="1"/>
  <c r="C12" i="2" s="1"/>
  <c r="AD22" i="1"/>
  <c r="G28" i="2" s="1" a="1"/>
  <c r="G28" i="2" s="1"/>
  <c r="U22" i="1"/>
  <c r="G19" i="2" s="1" a="1"/>
  <c r="G19" i="2" s="1"/>
  <c r="T22" i="1"/>
  <c r="G18" i="2" s="1" a="1"/>
  <c r="G18" i="2" s="1"/>
  <c r="I34" i="1"/>
  <c r="K7" i="2" s="1" a="1"/>
  <c r="K7" i="2" s="1"/>
  <c r="R22" i="1"/>
  <c r="G16" i="2" s="1" a="1"/>
  <c r="G16" i="2" s="1"/>
  <c r="H24" i="2" a="1"/>
  <c r="H24" i="2" s="1"/>
  <c r="Z34" i="1"/>
  <c r="K24" i="2" s="1" a="1"/>
  <c r="K24" i="2" s="1"/>
  <c r="AE34" i="1"/>
  <c r="K29" i="2" s="1" a="1"/>
  <c r="K29" i="2" s="1"/>
  <c r="J22" i="1"/>
  <c r="G8" i="2" s="1" a="1"/>
  <c r="G8" i="2" s="1"/>
  <c r="AH22" i="1"/>
  <c r="G32" i="2" s="1" a="1"/>
  <c r="G32" i="2" s="1"/>
  <c r="Q22" i="1"/>
  <c r="G15" i="2" s="1" a="1"/>
  <c r="G15" i="2" s="1"/>
  <c r="AG22" i="1"/>
  <c r="G31" i="2" s="1" a="1"/>
  <c r="G31" i="2" s="1"/>
  <c r="M22" i="1"/>
  <c r="G11" i="2" s="1" a="1"/>
  <c r="G11" i="2" s="1"/>
  <c r="O22" i="1"/>
  <c r="G13" i="2" s="1" a="1"/>
  <c r="G13" i="2" s="1"/>
  <c r="F22" i="1"/>
  <c r="F27" i="1" s="1"/>
  <c r="AG34" i="1"/>
  <c r="K31" i="2" s="1" a="1"/>
  <c r="K31" i="2" s="1"/>
  <c r="AF34" i="1"/>
  <c r="K30" i="2" s="1" a="1"/>
  <c r="K30" i="2" s="1"/>
  <c r="L7" i="2" a="1"/>
  <c r="L7" i="2" s="1"/>
  <c r="N34" i="1"/>
  <c r="K12" i="2" s="1" a="1"/>
  <c r="K12" i="2" s="1"/>
  <c r="L34" i="1"/>
  <c r="L39" i="1" s="1"/>
  <c r="W34" i="1"/>
  <c r="K21" i="2" s="1" a="1"/>
  <c r="K21" i="2" s="1"/>
  <c r="R34" i="1"/>
  <c r="K16" i="2" s="1" a="1"/>
  <c r="K16" i="2" s="1"/>
  <c r="G34" i="1"/>
  <c r="K5" i="2" s="1" a="1"/>
  <c r="K5" i="2" s="1"/>
  <c r="H14" i="2" a="1"/>
  <c r="H14" i="2" s="1"/>
  <c r="AH34" i="1"/>
  <c r="K32" i="2" s="1" a="1"/>
  <c r="K32" i="2" s="1"/>
  <c r="O34" i="1"/>
  <c r="K13" i="2" s="1" a="1"/>
  <c r="K13" i="2" s="1"/>
  <c r="X34" i="1"/>
  <c r="K22" i="2" s="1" a="1"/>
  <c r="K22" i="2" s="1"/>
  <c r="L4" i="2" a="1"/>
  <c r="L4" i="2" s="1"/>
  <c r="F34" i="1"/>
  <c r="K4" i="2" s="1" a="1"/>
  <c r="K4" i="2" s="1"/>
  <c r="S34" i="1"/>
  <c r="K17" i="2" s="1" a="1"/>
  <c r="K17" i="2" s="1"/>
  <c r="L29" i="2" a="1"/>
  <c r="L29" i="2" s="1"/>
  <c r="H34" i="1"/>
  <c r="K6" i="2" s="1" a="1"/>
  <c r="K6" i="2" s="1"/>
  <c r="T34" i="1"/>
  <c r="T39" i="1" s="1"/>
  <c r="M18" i="2" s="1" a="1"/>
  <c r="M18" i="2" s="1"/>
  <c r="Y34" i="1"/>
  <c r="K23" i="2" s="1" a="1"/>
  <c r="K23" i="2" s="1"/>
  <c r="AB34" i="1"/>
  <c r="K26" i="2" s="1" a="1"/>
  <c r="K26" i="2" s="1"/>
  <c r="L28" i="2" a="1"/>
  <c r="L28" i="2" s="1"/>
  <c r="AD34" i="1"/>
  <c r="K28" i="2" s="1" a="1"/>
  <c r="K28" i="2" s="1"/>
  <c r="J34" i="1"/>
  <c r="K8" i="2" s="1" a="1"/>
  <c r="K8" i="2" s="1"/>
  <c r="AG39" i="1"/>
  <c r="M31" i="2" s="1" a="1"/>
  <c r="M31" i="2" s="1"/>
  <c r="L6" i="2" a="1"/>
  <c r="L6" i="2" s="1"/>
  <c r="L22" i="2" a="1"/>
  <c r="L22" i="2" s="1"/>
  <c r="L20" i="2" a="1"/>
  <c r="L20" i="2" s="1"/>
  <c r="H20" i="2" a="1"/>
  <c r="H20" i="2" s="1"/>
  <c r="H13" i="2" a="1"/>
  <c r="H13" i="2" s="1"/>
  <c r="K25" i="2" a="1"/>
  <c r="K25" i="2" s="1"/>
  <c r="AA39" i="1"/>
  <c r="M25" i="2" s="1" a="1"/>
  <c r="M25" i="2" s="1"/>
  <c r="AJ26" i="1" a="1"/>
  <c r="AJ26" i="1" s="1"/>
  <c r="H4" i="2" a="1"/>
  <c r="H4" i="2" s="1"/>
  <c r="C10" i="2" a="1"/>
  <c r="C10" i="2" s="1"/>
  <c r="L15" i="1"/>
  <c r="H12" i="2" a="1"/>
  <c r="H12" i="2" s="1"/>
  <c r="H30" i="2" a="1"/>
  <c r="H30" i="2" s="1"/>
  <c r="H18" i="2" a="1"/>
  <c r="H18" i="2" s="1"/>
  <c r="D34" i="2" a="1"/>
  <c r="D34" i="2" s="1"/>
  <c r="H29" i="2" a="1"/>
  <c r="H29" i="2" s="1"/>
  <c r="AE27" i="1"/>
  <c r="I29" i="2" s="1" a="1"/>
  <c r="I29" i="2" s="1"/>
  <c r="J29" i="2" s="1"/>
  <c r="H21" i="2" a="1"/>
  <c r="H21" i="2" s="1"/>
  <c r="H31" i="2" a="1"/>
  <c r="H31" i="2" s="1"/>
  <c r="H22" i="2" a="1"/>
  <c r="H22" i="2" s="1"/>
  <c r="H8" i="2" a="1"/>
  <c r="H8" i="2" s="1"/>
  <c r="H28" i="2" a="1"/>
  <c r="H28" i="2" s="1"/>
  <c r="H10" i="2" a="1"/>
  <c r="H10" i="2" s="1"/>
  <c r="P10" i="1"/>
  <c r="H19" i="2" a="1"/>
  <c r="H19" i="2" s="1"/>
  <c r="H27" i="2" a="1"/>
  <c r="H27" i="2" s="1"/>
  <c r="H11" i="2" a="1"/>
  <c r="H11" i="2" s="1"/>
  <c r="AJ14" i="1" a="1"/>
  <c r="AJ14" i="1" s="1"/>
  <c r="G10" i="1"/>
  <c r="AG10" i="1"/>
  <c r="AH10" i="1"/>
  <c r="S22" i="1"/>
  <c r="G17" i="2" s="1" a="1"/>
  <c r="G17" i="2" s="1"/>
  <c r="Y10" i="1"/>
  <c r="M34" i="1"/>
  <c r="H33" i="2" a="1"/>
  <c r="H33" i="2" s="1"/>
  <c r="C30" i="2" a="1"/>
  <c r="C30" i="2" s="1"/>
  <c r="AF15" i="1"/>
  <c r="AF22" i="1"/>
  <c r="G30" i="2" s="1" a="1"/>
  <c r="G30" i="2" s="1"/>
  <c r="X10" i="1"/>
  <c r="AI34" i="1"/>
  <c r="U34" i="1"/>
  <c r="H25" i="2" a="1"/>
  <c r="H25" i="2" s="1"/>
  <c r="C29" i="2" a="1"/>
  <c r="C29" i="2" s="1"/>
  <c r="AE15" i="1"/>
  <c r="K34" i="1"/>
  <c r="W22" i="1"/>
  <c r="G21" i="2" s="1" a="1"/>
  <c r="G21" i="2" s="1"/>
  <c r="O10" i="1"/>
  <c r="C16" i="2" a="1"/>
  <c r="C16" i="2" s="1"/>
  <c r="R15" i="1"/>
  <c r="H9" i="2" a="1"/>
  <c r="H9" i="2" s="1"/>
  <c r="K27" i="2" a="1"/>
  <c r="K27" i="2" s="1"/>
  <c r="AC39" i="1"/>
  <c r="M27" i="2" s="1" a="1"/>
  <c r="M27" i="2" s="1"/>
  <c r="H17" i="2" a="1"/>
  <c r="H17" i="2" s="1"/>
  <c r="C20" i="2" a="1"/>
  <c r="C20" i="2" s="1"/>
  <c r="N22" i="1"/>
  <c r="G12" i="2" s="1" a="1"/>
  <c r="G12" i="2" s="1"/>
  <c r="F10" i="1"/>
  <c r="L27" i="1" l="1"/>
  <c r="I10" i="2" s="1" a="1"/>
  <c r="I10" i="2" s="1"/>
  <c r="J10" i="2" s="1"/>
  <c r="V39" i="1"/>
  <c r="M20" i="2" s="1" a="1"/>
  <c r="M20" i="2" s="1"/>
  <c r="N20" i="2" s="1"/>
  <c r="C24" i="2" a="1"/>
  <c r="C24" i="2" s="1"/>
  <c r="N18" i="2"/>
  <c r="N25" i="2"/>
  <c r="N31" i="2"/>
  <c r="N27" i="2"/>
  <c r="AC27" i="1"/>
  <c r="I27" i="2" s="1" a="1"/>
  <c r="I27" i="2" s="1"/>
  <c r="J27" i="2" s="1"/>
  <c r="J15" i="1"/>
  <c r="E8" i="2" s="1" a="1"/>
  <c r="E8" i="2" s="1"/>
  <c r="F8" i="2" s="1"/>
  <c r="Q39" i="1"/>
  <c r="M15" i="2" s="1" a="1"/>
  <c r="M15" i="2" s="1"/>
  <c r="Z27" i="1"/>
  <c r="I24" i="2" s="1" a="1"/>
  <c r="I24" i="2" s="1"/>
  <c r="J24" i="2" s="1"/>
  <c r="C8" i="5"/>
  <c r="AK14" i="1"/>
  <c r="AJ34" i="1" a="1"/>
  <c r="C25" i="2" a="1"/>
  <c r="C25" i="2" s="1"/>
  <c r="C17" i="2" a="1"/>
  <c r="C17" i="2" s="1"/>
  <c r="AD15" i="1"/>
  <c r="E28" i="2" s="1" a="1"/>
  <c r="E28" i="2" s="1"/>
  <c r="F28" i="2" s="1"/>
  <c r="Q3" i="2"/>
  <c r="L34" i="2" a="1"/>
  <c r="L34" i="2" s="1"/>
  <c r="C33" i="2" a="1"/>
  <c r="C33" i="2" s="1"/>
  <c r="Q15" i="1"/>
  <c r="E15" i="2" s="1" a="1"/>
  <c r="E15" i="2" s="1"/>
  <c r="F15" i="2" s="1"/>
  <c r="M15" i="1"/>
  <c r="E11" i="2" s="1" a="1"/>
  <c r="E11" i="2" s="1"/>
  <c r="F11" i="2" s="1"/>
  <c r="AC15" i="1"/>
  <c r="E27" i="2" s="1" a="1"/>
  <c r="E27" i="2" s="1"/>
  <c r="F27" i="2" s="1"/>
  <c r="C26" i="2" a="1"/>
  <c r="C26" i="2" s="1"/>
  <c r="AB27" i="1"/>
  <c r="I26" i="2" s="1" a="1"/>
  <c r="I26" i="2" s="1"/>
  <c r="J26" i="2" s="1"/>
  <c r="G27" i="1"/>
  <c r="I5" i="2" s="1" a="1"/>
  <c r="I5" i="2" s="1"/>
  <c r="J5" i="2" s="1"/>
  <c r="G39" i="1"/>
  <c r="M5" i="2" s="1" a="1"/>
  <c r="M5" i="2" s="1"/>
  <c r="AD27" i="1"/>
  <c r="I28" i="2" s="1" a="1"/>
  <c r="I28" i="2" s="1"/>
  <c r="J28" i="2" s="1"/>
  <c r="V27" i="1"/>
  <c r="I20" i="2" s="1" a="1"/>
  <c r="I20" i="2" s="1"/>
  <c r="J20" i="2" s="1"/>
  <c r="U15" i="1"/>
  <c r="E19" i="2" s="1" a="1"/>
  <c r="E19" i="2" s="1"/>
  <c r="F19" i="2" s="1"/>
  <c r="E26" i="2" a="1"/>
  <c r="E26" i="2" s="1"/>
  <c r="F26" i="2" s="1"/>
  <c r="E16" i="2" a="1"/>
  <c r="E16" i="2" s="1"/>
  <c r="F16" i="2" s="1"/>
  <c r="E25" i="2" a="1"/>
  <c r="E25" i="2" s="1"/>
  <c r="F25" i="2" s="1"/>
  <c r="E24" i="2" a="1"/>
  <c r="E24" i="2" s="1"/>
  <c r="F24" i="2" s="1"/>
  <c r="E33" i="2" a="1"/>
  <c r="E33" i="2" s="1"/>
  <c r="F33" i="2" s="1"/>
  <c r="E29" i="2" a="1"/>
  <c r="E29" i="2" s="1"/>
  <c r="F29" i="2" s="1"/>
  <c r="Q29" i="2" s="1"/>
  <c r="E18" i="2" a="1"/>
  <c r="E18" i="2" s="1"/>
  <c r="F18" i="2" s="1"/>
  <c r="E30" i="2" a="1"/>
  <c r="E30" i="2" s="1"/>
  <c r="F30" i="2" s="1"/>
  <c r="E20" i="2" a="1"/>
  <c r="E20" i="2" s="1"/>
  <c r="F20" i="2" s="1"/>
  <c r="E17" i="2" a="1"/>
  <c r="E17" i="2" s="1"/>
  <c r="F17" i="2" s="1"/>
  <c r="H15" i="1"/>
  <c r="R27" i="1"/>
  <c r="I16" i="2" s="1" a="1"/>
  <c r="I16" i="2" s="1"/>
  <c r="J16" i="2" s="1"/>
  <c r="K27" i="1"/>
  <c r="I9" i="2" s="1" a="1"/>
  <c r="I9" i="2" s="1"/>
  <c r="J9" i="2" s="1"/>
  <c r="AA27" i="1"/>
  <c r="I25" i="2" s="1" a="1"/>
  <c r="I25" i="2" s="1"/>
  <c r="J25" i="2" s="1"/>
  <c r="P27" i="1"/>
  <c r="I14" i="2" s="1" a="1"/>
  <c r="I14" i="2" s="1"/>
  <c r="J14" i="2" s="1"/>
  <c r="C18" i="2" a="1"/>
  <c r="C18" i="2" s="1"/>
  <c r="AI27" i="1"/>
  <c r="I33" i="2" s="1" a="1"/>
  <c r="I33" i="2" s="1"/>
  <c r="J33" i="2" s="1"/>
  <c r="C7" i="2" a="1"/>
  <c r="C7" i="2" s="1"/>
  <c r="K15" i="1"/>
  <c r="Y27" i="1"/>
  <c r="I23" i="2" s="1" a="1"/>
  <c r="I23" i="2" s="1"/>
  <c r="J23" i="2" s="1"/>
  <c r="P39" i="1"/>
  <c r="M14" i="2" s="1" a="1"/>
  <c r="M14" i="2" s="1"/>
  <c r="Q27" i="1"/>
  <c r="I15" i="2" s="1" a="1"/>
  <c r="I15" i="2" s="1"/>
  <c r="J15" i="2" s="1"/>
  <c r="N15" i="1"/>
  <c r="W15" i="1"/>
  <c r="I27" i="1"/>
  <c r="I7" i="2" s="1" a="1"/>
  <c r="I7" i="2" s="1"/>
  <c r="J7" i="2" s="1"/>
  <c r="H27" i="1"/>
  <c r="X27" i="1"/>
  <c r="I22" i="2" s="1" a="1"/>
  <c r="I22" i="2" s="1"/>
  <c r="J22" i="2" s="1"/>
  <c r="G4" i="2" a="1"/>
  <c r="G4" i="2" s="1"/>
  <c r="G34" i="2" s="1" a="1"/>
  <c r="U27" i="1"/>
  <c r="I19" i="2" s="1" a="1"/>
  <c r="I19" i="2" s="1"/>
  <c r="J19" i="2" s="1"/>
  <c r="AF39" i="1"/>
  <c r="M30" i="2" s="1" a="1"/>
  <c r="M30" i="2" s="1"/>
  <c r="T27" i="1"/>
  <c r="I18" i="2" s="1" a="1"/>
  <c r="I18" i="2" s="1"/>
  <c r="J18" i="2" s="1"/>
  <c r="Q18" i="2" s="1"/>
  <c r="J27" i="1"/>
  <c r="O27" i="1"/>
  <c r="AH27" i="1"/>
  <c r="I32" i="2" s="1" a="1"/>
  <c r="I32" i="2" s="1"/>
  <c r="J32" i="2" s="1"/>
  <c r="S27" i="1"/>
  <c r="I17" i="2" s="1" a="1"/>
  <c r="I17" i="2" s="1"/>
  <c r="J17" i="2" s="1"/>
  <c r="K10" i="2" a="1"/>
  <c r="K10" i="2" s="1"/>
  <c r="I39" i="1"/>
  <c r="AE39" i="1"/>
  <c r="M29" i="2" s="1" a="1"/>
  <c r="M29" i="2" s="1"/>
  <c r="AG27" i="1"/>
  <c r="I31" i="2" s="1" a="1"/>
  <c r="I31" i="2" s="1"/>
  <c r="J31" i="2" s="1"/>
  <c r="Z39" i="1"/>
  <c r="M24" i="2" s="1" a="1"/>
  <c r="M24" i="2" s="1"/>
  <c r="AB39" i="1"/>
  <c r="M26" i="2" s="1" a="1"/>
  <c r="M26" i="2" s="1"/>
  <c r="N27" i="1"/>
  <c r="M27" i="1"/>
  <c r="N39" i="1"/>
  <c r="R39" i="1"/>
  <c r="M16" i="2" s="1" a="1"/>
  <c r="M16" i="2" s="1"/>
  <c r="X39" i="1"/>
  <c r="M22" i="2" s="1" a="1"/>
  <c r="M22" i="2" s="1"/>
  <c r="H39" i="1"/>
  <c r="W39" i="1"/>
  <c r="M21" i="2" s="1" a="1"/>
  <c r="M21" i="2" s="1"/>
  <c r="J39" i="1"/>
  <c r="M8" i="2" s="1" a="1"/>
  <c r="M8" i="2" s="1"/>
  <c r="O39" i="1"/>
  <c r="M13" i="2" s="1" a="1"/>
  <c r="M13" i="2" s="1"/>
  <c r="AH39" i="1"/>
  <c r="M32" i="2" s="1" a="1"/>
  <c r="M32" i="2" s="1"/>
  <c r="AD39" i="1"/>
  <c r="M28" i="2" s="1" a="1"/>
  <c r="M28" i="2" s="1"/>
  <c r="K18" i="2" a="1"/>
  <c r="K18" i="2" s="1"/>
  <c r="F39" i="1"/>
  <c r="S39" i="1"/>
  <c r="M17" i="2" s="1" a="1"/>
  <c r="M17" i="2" s="1"/>
  <c r="Y39" i="1"/>
  <c r="M23" i="2" s="1" a="1"/>
  <c r="M23" i="2" s="1"/>
  <c r="AJ34" i="1"/>
  <c r="I4" i="2" a="1"/>
  <c r="I4" i="2" s="1"/>
  <c r="J4" i="2" s="1"/>
  <c r="E7" i="2" a="1"/>
  <c r="E7" i="2" s="1"/>
  <c r="F7" i="2" s="1"/>
  <c r="K33" i="2" a="1"/>
  <c r="K33" i="2" s="1"/>
  <c r="AI39" i="1"/>
  <c r="M33" i="2" s="1" a="1"/>
  <c r="M33" i="2" s="1"/>
  <c r="P15" i="1"/>
  <c r="C14" i="2" a="1"/>
  <c r="C14" i="2" s="1"/>
  <c r="C5" i="2" a="1"/>
  <c r="C5" i="2" s="1"/>
  <c r="G15" i="1"/>
  <c r="C13" i="2" a="1"/>
  <c r="C13" i="2" s="1"/>
  <c r="O15" i="1"/>
  <c r="C23" i="2" a="1"/>
  <c r="C23" i="2" s="1"/>
  <c r="Y15" i="1"/>
  <c r="AF27" i="1"/>
  <c r="I30" i="2" s="1" a="1"/>
  <c r="I30" i="2" s="1"/>
  <c r="J30" i="2" s="1"/>
  <c r="E10" i="2" a="1"/>
  <c r="E10" i="2" s="1"/>
  <c r="F10" i="2" s="1"/>
  <c r="C32" i="2" a="1"/>
  <c r="C32" i="2" s="1"/>
  <c r="AH15" i="1"/>
  <c r="F15" i="1"/>
  <c r="AJ10" i="1" a="1"/>
  <c r="AJ10" i="1" s="1"/>
  <c r="C4" i="2" a="1"/>
  <c r="C4" i="2" s="1"/>
  <c r="K9" i="2" a="1"/>
  <c r="K9" i="2" s="1"/>
  <c r="K39" i="1"/>
  <c r="C22" i="2" a="1"/>
  <c r="C22" i="2" s="1"/>
  <c r="X15" i="1"/>
  <c r="C31" i="2" a="1"/>
  <c r="C31" i="2" s="1"/>
  <c r="AG15" i="1"/>
  <c r="M10" i="2" a="1"/>
  <c r="M10" i="2" s="1"/>
  <c r="W27" i="1"/>
  <c r="I21" i="2" s="1" a="1"/>
  <c r="I21" i="2" s="1"/>
  <c r="J21" i="2" s="1"/>
  <c r="K19" i="2" a="1"/>
  <c r="K19" i="2" s="1"/>
  <c r="U39" i="1"/>
  <c r="M19" i="2" s="1" a="1"/>
  <c r="M19" i="2" s="1"/>
  <c r="K11" i="2" a="1"/>
  <c r="K11" i="2" s="1"/>
  <c r="M39" i="1"/>
  <c r="AJ22" i="1" a="1"/>
  <c r="AJ22" i="1" s="1"/>
  <c r="H34" i="2" a="1"/>
  <c r="H34" i="2" s="1"/>
  <c r="Q15" i="2" l="1"/>
  <c r="AJ39" i="1" a="1"/>
  <c r="Q30" i="2"/>
  <c r="Q19" i="2"/>
  <c r="Q17" i="2"/>
  <c r="Q33" i="2"/>
  <c r="Q7" i="2"/>
  <c r="Q27" i="2"/>
  <c r="Q28" i="2"/>
  <c r="Q25" i="2"/>
  <c r="Q20" i="2"/>
  <c r="N14" i="2"/>
  <c r="N28" i="2"/>
  <c r="P28" i="2"/>
  <c r="Q16" i="2"/>
  <c r="N5" i="2"/>
  <c r="Q24" i="2"/>
  <c r="N33" i="2"/>
  <c r="P33" i="2"/>
  <c r="N29" i="2"/>
  <c r="P29" i="2"/>
  <c r="N10" i="2"/>
  <c r="P10" i="2"/>
  <c r="N32" i="2"/>
  <c r="N15" i="2"/>
  <c r="P15" i="2"/>
  <c r="N16" i="2"/>
  <c r="P16" i="2"/>
  <c r="N13" i="2"/>
  <c r="Q26" i="2"/>
  <c r="P25" i="2"/>
  <c r="N8" i="2"/>
  <c r="N26" i="2"/>
  <c r="P26" i="2"/>
  <c r="N19" i="2"/>
  <c r="P19" i="2"/>
  <c r="N23" i="2"/>
  <c r="N21" i="2"/>
  <c r="N24" i="2"/>
  <c r="P24" i="2"/>
  <c r="P27" i="2"/>
  <c r="P18" i="2"/>
  <c r="Q10" i="2"/>
  <c r="N17" i="2"/>
  <c r="P17" i="2"/>
  <c r="N22" i="2"/>
  <c r="N30" i="2"/>
  <c r="P30" i="2"/>
  <c r="P20" i="2"/>
  <c r="AK38" i="1"/>
  <c r="D8" i="5"/>
  <c r="AK26" i="1"/>
  <c r="AJ15" i="1"/>
  <c r="E6" i="2" a="1"/>
  <c r="E6" i="2" s="1"/>
  <c r="F6" i="2" s="1"/>
  <c r="E22" i="2" a="1"/>
  <c r="E22" i="2" s="1"/>
  <c r="F22" i="2" s="1"/>
  <c r="Q22" i="2" s="1"/>
  <c r="E14" i="2" a="1"/>
  <c r="E14" i="2" s="1"/>
  <c r="F14" i="2" s="1"/>
  <c r="Q14" i="2" s="1"/>
  <c r="E23" i="2" a="1"/>
  <c r="E23" i="2" s="1"/>
  <c r="F23" i="2" s="1"/>
  <c r="Q23" i="2" s="1"/>
  <c r="E31" i="2" a="1"/>
  <c r="E31" i="2" s="1"/>
  <c r="E32" i="2" a="1"/>
  <c r="E32" i="2" s="1"/>
  <c r="F32" i="2" s="1"/>
  <c r="Q32" i="2" s="1"/>
  <c r="E21" i="2" a="1"/>
  <c r="E21" i="2" s="1"/>
  <c r="F21" i="2" s="1"/>
  <c r="Q21" i="2" s="1"/>
  <c r="E12" i="2" a="1"/>
  <c r="E12" i="2" s="1"/>
  <c r="F12" i="2" s="1"/>
  <c r="E9" i="2" a="1"/>
  <c r="E9" i="2" s="1"/>
  <c r="F9" i="2" s="1"/>
  <c r="Q9" i="2" s="1"/>
  <c r="I12" i="2" a="1"/>
  <c r="I12" i="2" s="1"/>
  <c r="J12" i="2" s="1"/>
  <c r="G34" i="2"/>
  <c r="I6" i="2" a="1"/>
  <c r="I6" i="2" s="1"/>
  <c r="J6" i="2" s="1"/>
  <c r="M7" i="2" a="1"/>
  <c r="M7" i="2" s="1"/>
  <c r="P7" i="2" s="1"/>
  <c r="I13" i="2" a="1"/>
  <c r="I13" i="2" s="1"/>
  <c r="J13" i="2" s="1"/>
  <c r="I8" i="2" a="1"/>
  <c r="I8" i="2" s="1"/>
  <c r="J8" i="2" s="1"/>
  <c r="Q8" i="2" s="1"/>
  <c r="I11" i="2" a="1"/>
  <c r="I11" i="2" s="1"/>
  <c r="J11" i="2" s="1"/>
  <c r="Q11" i="2" s="1"/>
  <c r="M12" i="2" a="1"/>
  <c r="M12" i="2" s="1"/>
  <c r="M6" i="2" a="1"/>
  <c r="M6" i="2" s="1"/>
  <c r="M4" i="2" a="1"/>
  <c r="M4" i="2" s="1"/>
  <c r="AJ39" i="1"/>
  <c r="M11" i="2" a="1"/>
  <c r="M11" i="2" s="1"/>
  <c r="M9" i="2" a="1"/>
  <c r="M9" i="2" s="1"/>
  <c r="K34" i="2" a="1"/>
  <c r="K34" i="2" s="1"/>
  <c r="E13" i="2" a="1"/>
  <c r="E13" i="2" s="1"/>
  <c r="F13" i="2" s="1"/>
  <c r="AJ27" i="1" a="1"/>
  <c r="AJ27" i="1" s="1"/>
  <c r="C34" i="2" a="1"/>
  <c r="C34" i="2" s="1"/>
  <c r="E5" i="2" a="1"/>
  <c r="E5" i="2" s="1"/>
  <c r="F5" i="2" s="1"/>
  <c r="Q5" i="2" s="1"/>
  <c r="E4" i="2" a="1"/>
  <c r="E4" i="2" s="1"/>
  <c r="F4" i="2" s="1"/>
  <c r="Q4" i="2" s="1"/>
  <c r="Q6" i="2" l="1"/>
  <c r="P8" i="2"/>
  <c r="P21" i="2"/>
  <c r="P23" i="2"/>
  <c r="N4" i="2"/>
  <c r="P4" i="2"/>
  <c r="N6" i="2"/>
  <c r="P6" i="2"/>
  <c r="Q12" i="2"/>
  <c r="N12" i="2"/>
  <c r="P12" i="2"/>
  <c r="P22" i="2"/>
  <c r="P13" i="2"/>
  <c r="P32" i="2"/>
  <c r="P14" i="2"/>
  <c r="N9" i="2"/>
  <c r="P9" i="2"/>
  <c r="Q13" i="2"/>
  <c r="P11" i="2"/>
  <c r="F31" i="2"/>
  <c r="Q31" i="2" s="1"/>
  <c r="P31" i="2"/>
  <c r="P5" i="2"/>
  <c r="C9" i="5"/>
  <c r="AK10" i="1"/>
  <c r="AK34" i="1"/>
  <c r="D9" i="5"/>
  <c r="AK22" i="1"/>
  <c r="J34" i="2"/>
  <c r="N11" i="2"/>
  <c r="N7" i="2"/>
  <c r="I34" i="2" a="1"/>
  <c r="I34" i="2" s="1"/>
  <c r="E34" i="2" a="1"/>
  <c r="E34" i="2" s="1"/>
  <c r="M34" i="2" a="1"/>
  <c r="M34" i="2" s="1"/>
  <c r="F34" i="2" l="1"/>
  <c r="D17" i="5"/>
  <c r="C10" i="5"/>
  <c r="AK15" i="1"/>
  <c r="D10" i="5"/>
  <c r="AK27" i="1"/>
  <c r="D16" i="5"/>
  <c r="D15" i="5"/>
  <c r="N34" i="2"/>
  <c r="AK39" i="1" s="1"/>
</calcChain>
</file>

<file path=xl/sharedStrings.xml><?xml version="1.0" encoding="utf-8"?>
<sst xmlns="http://schemas.openxmlformats.org/spreadsheetml/2006/main" count="92" uniqueCount="50">
  <si>
    <t>Simple Life Cycle Costing Tool</t>
  </si>
  <si>
    <t>Other Inflation Rate</t>
  </si>
  <si>
    <t>Energy Inflation Rate</t>
  </si>
  <si>
    <t>Discount Rate</t>
  </si>
  <si>
    <t>Option A  - Initial Costs</t>
  </si>
  <si>
    <t>Cost</t>
  </si>
  <si>
    <t>Present Value</t>
  </si>
  <si>
    <t>After</t>
  </si>
  <si>
    <t>Energy Costs</t>
  </si>
  <si>
    <t>Usage</t>
  </si>
  <si>
    <t>Price</t>
  </si>
  <si>
    <t>$/yr</t>
  </si>
  <si>
    <t>Electricity (kWh)</t>
  </si>
  <si>
    <t>Natural Gas (m3)</t>
  </si>
  <si>
    <t xml:space="preserve"> Energy Sub-Total</t>
  </si>
  <si>
    <t>O&amp;M &amp; Carbon Cost</t>
  </si>
  <si>
    <t>Period</t>
  </si>
  <si>
    <t>O&amp;M Cost</t>
  </si>
  <si>
    <t>Carbon Tax (on Nat Gas)</t>
  </si>
  <si>
    <t>Tonnes</t>
  </si>
  <si>
    <t>O&amp;M &amp; Carbon Sub-Total</t>
  </si>
  <si>
    <t xml:space="preserve"> Option A - Total Annual Costs</t>
  </si>
  <si>
    <t>Option B  - Initial Costs</t>
  </si>
  <si>
    <t>Net Zero</t>
  </si>
  <si>
    <t xml:space="preserve"> Option B - Total Annual Costs</t>
  </si>
  <si>
    <t>Option C  - Initial Costs</t>
  </si>
  <si>
    <t xml:space="preserve">Net Zero </t>
  </si>
  <si>
    <t xml:space="preserve"> Option C - Total Annual Costs</t>
  </si>
  <si>
    <t>Carbon Tax ($ per Tonne, calculated by formula)</t>
  </si>
  <si>
    <t>User Selected Carbon Tax/Price</t>
  </si>
  <si>
    <t>Carbon Price to be used in Calculation ($/Tonne)</t>
  </si>
  <si>
    <t>Life Cycle Costing Summary</t>
  </si>
  <si>
    <t>Option A</t>
  </si>
  <si>
    <t>Option B</t>
  </si>
  <si>
    <t>Initial Cost</t>
  </si>
  <si>
    <t>Energy Cost</t>
  </si>
  <si>
    <t>Total Cost</t>
  </si>
  <si>
    <t>Financial Value Indicators (Option A vs B)</t>
  </si>
  <si>
    <t>Net Investment</t>
  </si>
  <si>
    <t>Net Present Value</t>
  </si>
  <si>
    <t>Internal Rate of Return</t>
  </si>
  <si>
    <t>Savings to Investment Ratio</t>
  </si>
  <si>
    <t>Time Horizon (1-30 years)</t>
  </si>
  <si>
    <t>years</t>
  </si>
  <si>
    <t>Option C</t>
  </si>
  <si>
    <t>A vs C</t>
  </si>
  <si>
    <t>Energy</t>
  </si>
  <si>
    <t>O&amp;M &amp; Carbon</t>
  </si>
  <si>
    <t>Total</t>
  </si>
  <si>
    <t>Nominal Building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</si>
</sst>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;[Red]\-&quot;$&quot;#,##0.00"/>
    <numFmt numFmtId="164" formatCode="0.0%"/>
    <numFmt numFmtId="165" formatCode="&quot;$&quot;#,##0"/>
    <numFmt numFmtId="166" formatCode="[$$-1009]#,##0"/>
    <numFmt numFmtId="167" formatCode="&quot;$&quot;#,##0.00"/>
  </numFmts>
  <fonts count="34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4"/>
      <color theme="1"/>
      <name val="Arial"/>
      <family val="2"/>
    </font>
    <font>
      <sz val="10"/>
      <color rgb="FF76923C"/>
      <name val="Arial"/>
      <family val="2"/>
    </font>
    <font>
      <sz val="10"/>
      <color rgb="FF993300"/>
      <name val="Arial"/>
      <family val="2"/>
    </font>
    <font>
      <sz val="10"/>
      <color theme="1"/>
      <name val="Arial"/>
      <family val="2"/>
      <scheme val="minor"/>
    </font>
    <font>
      <b/>
      <sz val="10"/>
      <color rgb="FF76923C"/>
      <name val="Arial"/>
      <family val="2"/>
    </font>
    <font>
      <b/>
      <sz val="10"/>
      <color rgb="FF993300"/>
      <name val="Arial"/>
      <family val="2"/>
    </font>
    <font>
      <b/>
      <sz val="10"/>
      <color rgb="FF000000"/>
      <name val="Arial"/>
      <family val="2"/>
      <scheme val="minor"/>
    </font>
    <font>
      <b/>
      <sz val="12"/>
      <color theme="0"/>
      <name val="Tahoma"/>
      <family val="2"/>
    </font>
    <font>
      <sz val="10"/>
      <name val="Tahoma"/>
      <family val="2"/>
    </font>
    <font>
      <b/>
      <sz val="10"/>
      <color theme="1"/>
      <name val="Tahoma"/>
      <family val="2"/>
    </font>
    <font>
      <sz val="10"/>
      <color rgb="FF000000"/>
      <name val="Tahoma"/>
      <family val="2"/>
    </font>
    <font>
      <sz val="10"/>
      <color theme="1"/>
      <name val="Tahoma"/>
      <family val="2"/>
    </font>
    <font>
      <b/>
      <sz val="12"/>
      <color theme="1"/>
      <name val="Tahoma"/>
      <family val="2"/>
    </font>
    <font>
      <sz val="10"/>
      <color rgb="FF0000FF"/>
      <name val="Tahoma"/>
      <family val="2"/>
    </font>
    <font>
      <b/>
      <sz val="9"/>
      <color rgb="FFFF0000"/>
      <name val="Tahoma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b/>
      <sz val="9"/>
      <color theme="0"/>
      <name val="Tahoma"/>
      <family val="2"/>
    </font>
    <font>
      <sz val="9"/>
      <color rgb="FF000000"/>
      <name val="Tahoma"/>
      <family val="2"/>
    </font>
    <font>
      <b/>
      <sz val="10"/>
      <color rgb="FF000000"/>
      <name val="Tahoma"/>
      <family val="2"/>
    </font>
    <font>
      <b/>
      <sz val="9"/>
      <color rgb="FF000000"/>
      <name val="Tahoma"/>
      <family val="2"/>
    </font>
    <font>
      <b/>
      <sz val="14"/>
      <color rgb="FF000000"/>
      <name val="Tahoma"/>
      <family val="2"/>
    </font>
    <font>
      <b/>
      <sz val="10"/>
      <color rgb="FF058DCF"/>
      <name val="Tahoma"/>
      <family val="2"/>
    </font>
    <font>
      <sz val="10"/>
      <color rgb="FF058DCF"/>
      <name val="Tahoma"/>
      <family val="2"/>
    </font>
    <font>
      <sz val="10"/>
      <color rgb="FF0066CC"/>
      <name val="Tahoma"/>
      <family val="2"/>
    </font>
    <font>
      <b/>
      <sz val="10"/>
      <color rgb="FFF26D04"/>
      <name val="Tahoma"/>
      <family val="2"/>
    </font>
    <font>
      <sz val="10"/>
      <color rgb="FFF26D04"/>
      <name val="Tahoma"/>
      <family val="2"/>
    </font>
    <font>
      <sz val="10"/>
      <color theme="5"/>
      <name val="Tahoma"/>
      <family val="2"/>
    </font>
    <font>
      <b/>
      <sz val="10"/>
      <color rgb="FFA2E00A"/>
      <name val="Tahoma"/>
      <family val="2"/>
    </font>
    <font>
      <sz val="10"/>
      <color rgb="FFA2E00A"/>
      <name val="Tahoma"/>
      <family val="2"/>
    </font>
    <font>
      <sz val="10"/>
      <color rgb="FF76923C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B6DDE8"/>
        <bgColor rgb="FFB6DDE8"/>
      </patternFill>
    </fill>
    <fill>
      <patternFill patternType="solid">
        <fgColor theme="0"/>
        <bgColor theme="0"/>
      </patternFill>
    </fill>
    <fill>
      <patternFill patternType="solid">
        <fgColor rgb="FFE5DFEC"/>
        <bgColor rgb="FFE5DFEC"/>
      </patternFill>
    </fill>
    <fill>
      <patternFill patternType="solid">
        <fgColor rgb="FF54585A"/>
        <bgColor rgb="FF17365D"/>
      </patternFill>
    </fill>
    <fill>
      <patternFill patternType="solid">
        <fgColor rgb="FF54585A"/>
        <bgColor indexed="64"/>
      </patternFill>
    </fill>
    <fill>
      <patternFill patternType="solid">
        <fgColor rgb="FFF7F7F5"/>
        <bgColor rgb="FFE5DFEC"/>
      </patternFill>
    </fill>
    <fill>
      <patternFill patternType="solid">
        <fgColor rgb="FF058DCF"/>
        <bgColor rgb="FFB6DDE8"/>
      </patternFill>
    </fill>
    <fill>
      <patternFill patternType="solid">
        <fgColor rgb="FF058DCF"/>
        <bgColor indexed="64"/>
      </patternFill>
    </fill>
    <fill>
      <patternFill patternType="solid">
        <fgColor rgb="FFF5DB00"/>
        <bgColor indexed="64"/>
      </patternFill>
    </fill>
    <fill>
      <patternFill patternType="solid">
        <fgColor rgb="FFF5DB00"/>
        <bgColor rgb="FFFFFFCC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dotted">
        <color rgb="FFC0C0C0"/>
      </right>
      <top style="thin">
        <color rgb="FF000000"/>
      </top>
      <bottom style="dotted">
        <color rgb="FFC0C0C0"/>
      </bottom>
      <diagonal/>
    </border>
    <border>
      <left style="dotted">
        <color rgb="FFC0C0C0"/>
      </left>
      <right style="dotted">
        <color rgb="FFC0C0C0"/>
      </right>
      <top style="thin">
        <color rgb="FF000000"/>
      </top>
      <bottom style="dotted">
        <color rgb="FFC0C0C0"/>
      </bottom>
      <diagonal/>
    </border>
    <border>
      <left/>
      <right style="dotted">
        <color rgb="FFC0C0C0"/>
      </right>
      <top style="dotted">
        <color rgb="FFC0C0C0"/>
      </top>
      <bottom style="thin">
        <color rgb="FF000000"/>
      </bottom>
      <diagonal/>
    </border>
    <border>
      <left/>
      <right style="dotted">
        <color rgb="FFC0C0C0"/>
      </right>
      <top style="dotted">
        <color rgb="FFC0C0C0"/>
      </top>
      <bottom style="dotted">
        <color rgb="FFC0C0C0"/>
      </bottom>
      <diagonal/>
    </border>
    <border>
      <left style="dotted">
        <color rgb="FFC0C0C0"/>
      </left>
      <right style="dotted">
        <color rgb="FFC0C0C0"/>
      </right>
      <top style="dotted">
        <color rgb="FFC0C0C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tted">
        <color rgb="FFC0C0C0"/>
      </left>
      <right style="dotted">
        <color rgb="FFC0C0C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1" fillId="0" borderId="0" xfId="0" applyFont="1"/>
    <xf numFmtId="0" fontId="2" fillId="0" borderId="0" xfId="0" applyFont="1"/>
    <xf numFmtId="166" fontId="1" fillId="0" borderId="0" xfId="0" applyNumberFormat="1" applyFont="1"/>
    <xf numFmtId="0" fontId="6" fillId="0" borderId="0" xfId="0" applyFont="1"/>
    <xf numFmtId="166" fontId="4" fillId="0" borderId="0" xfId="0" applyNumberFormat="1" applyFont="1" applyAlignment="1">
      <alignment horizontal="center"/>
    </xf>
    <xf numFmtId="3" fontId="5" fillId="0" borderId="0" xfId="0" applyNumberFormat="1" applyFont="1"/>
    <xf numFmtId="3" fontId="1" fillId="0" borderId="0" xfId="0" applyNumberFormat="1" applyFont="1"/>
    <xf numFmtId="166" fontId="7" fillId="0" borderId="0" xfId="0" applyNumberFormat="1" applyFont="1" applyAlignment="1">
      <alignment horizontal="center"/>
    </xf>
    <xf numFmtId="3" fontId="8" fillId="0" borderId="0" xfId="0" applyNumberFormat="1" applyFont="1"/>
    <xf numFmtId="3" fontId="2" fillId="0" borderId="0" xfId="0" applyNumberFormat="1" applyFont="1"/>
    <xf numFmtId="166" fontId="0" fillId="0" borderId="0" xfId="0" applyNumberFormat="1"/>
    <xf numFmtId="9" fontId="0" fillId="0" borderId="0" xfId="0" applyNumberFormat="1"/>
    <xf numFmtId="0" fontId="9" fillId="0" borderId="0" xfId="0" applyFont="1" applyAlignment="1">
      <alignment horizontal="right"/>
    </xf>
    <xf numFmtId="0" fontId="7" fillId="0" borderId="0" xfId="0" applyFont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12" fillId="0" borderId="0" xfId="0" applyFont="1" applyAlignment="1">
      <alignment horizontal="right"/>
    </xf>
    <xf numFmtId="164" fontId="14" fillId="12" borderId="2" xfId="0" applyNumberFormat="1" applyFont="1" applyFill="1" applyBorder="1" applyAlignment="1" applyProtection="1">
      <alignment horizontal="center"/>
      <protection locked="0"/>
    </xf>
    <xf numFmtId="0" fontId="15" fillId="0" borderId="0" xfId="0" applyFont="1"/>
    <xf numFmtId="0" fontId="16" fillId="0" borderId="0" xfId="0" applyFont="1"/>
    <xf numFmtId="0" fontId="14" fillId="0" borderId="0" xfId="0" applyFont="1"/>
    <xf numFmtId="0" fontId="12" fillId="9" borderId="8" xfId="0" applyFont="1" applyFill="1" applyBorder="1" applyAlignment="1">
      <alignment horizontal="right"/>
    </xf>
    <xf numFmtId="0" fontId="12" fillId="9" borderId="8" xfId="0" applyFont="1" applyFill="1" applyBorder="1" applyAlignment="1">
      <alignment horizontal="center"/>
    </xf>
    <xf numFmtId="0" fontId="17" fillId="11" borderId="3" xfId="0" applyFont="1" applyFill="1" applyBorder="1" applyAlignment="1" applyProtection="1">
      <alignment horizontal="right"/>
      <protection locked="0"/>
    </xf>
    <xf numFmtId="165" fontId="18" fillId="12" borderId="3" xfId="0" applyNumberFormat="1" applyFont="1" applyFill="1" applyBorder="1" applyAlignment="1" applyProtection="1">
      <alignment horizontal="center"/>
      <protection locked="0"/>
    </xf>
    <xf numFmtId="0" fontId="18" fillId="4" borderId="3" xfId="0" applyFont="1" applyFill="1" applyBorder="1" applyAlignment="1">
      <alignment horizontal="center" vertical="center"/>
    </xf>
    <xf numFmtId="166" fontId="18" fillId="0" borderId="4" xfId="0" applyNumberFormat="1" applyFont="1" applyBorder="1"/>
    <xf numFmtId="166" fontId="12" fillId="0" borderId="4" xfId="0" applyNumberFormat="1" applyFont="1" applyBorder="1" applyAlignment="1">
      <alignment horizontal="center"/>
    </xf>
    <xf numFmtId="166" fontId="12" fillId="0" borderId="11" xfId="0" applyNumberFormat="1" applyFont="1" applyBorder="1" applyAlignment="1">
      <alignment horizontal="center"/>
    </xf>
    <xf numFmtId="0" fontId="19" fillId="0" borderId="8" xfId="0" applyFont="1" applyBorder="1" applyAlignment="1">
      <alignment horizontal="right"/>
    </xf>
    <xf numFmtId="0" fontId="19" fillId="0" borderId="8" xfId="0" applyFont="1" applyBorder="1" applyAlignment="1">
      <alignment horizontal="center"/>
    </xf>
    <xf numFmtId="0" fontId="20" fillId="4" borderId="8" xfId="0" applyFont="1" applyFill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8" fillId="12" borderId="3" xfId="0" applyFont="1" applyFill="1" applyBorder="1" applyAlignment="1" applyProtection="1">
      <alignment horizontal="right"/>
      <protection locked="0"/>
    </xf>
    <xf numFmtId="3" fontId="18" fillId="12" borderId="3" xfId="0" applyNumberFormat="1" applyFont="1" applyFill="1" applyBorder="1" applyAlignment="1" applyProtection="1">
      <alignment horizontal="center" vertical="center"/>
      <protection locked="0"/>
    </xf>
    <xf numFmtId="8" fontId="18" fillId="12" borderId="3" xfId="0" applyNumberFormat="1" applyFont="1" applyFill="1" applyBorder="1" applyAlignment="1" applyProtection="1">
      <alignment horizontal="center" vertical="center"/>
      <protection locked="0"/>
    </xf>
    <xf numFmtId="166" fontId="14" fillId="0" borderId="4" xfId="0" applyNumberFormat="1" applyFont="1" applyBorder="1" applyAlignment="1">
      <alignment horizontal="center"/>
    </xf>
    <xf numFmtId="0" fontId="18" fillId="12" borderId="5" xfId="0" applyFont="1" applyFill="1" applyBorder="1" applyAlignment="1" applyProtection="1">
      <alignment horizontal="right"/>
      <protection locked="0"/>
    </xf>
    <xf numFmtId="3" fontId="18" fillId="12" borderId="6" xfId="0" applyNumberFormat="1" applyFont="1" applyFill="1" applyBorder="1" applyAlignment="1" applyProtection="1">
      <alignment horizontal="center"/>
      <protection locked="0"/>
    </xf>
    <xf numFmtId="167" fontId="18" fillId="12" borderId="6" xfId="0" applyNumberFormat="1" applyFont="1" applyFill="1" applyBorder="1" applyAlignment="1" applyProtection="1">
      <alignment horizontal="center"/>
      <protection locked="0"/>
    </xf>
    <xf numFmtId="166" fontId="18" fillId="0" borderId="7" xfId="0" applyNumberFormat="1" applyFont="1" applyBorder="1"/>
    <xf numFmtId="166" fontId="14" fillId="0" borderId="7" xfId="0" applyNumberFormat="1" applyFont="1" applyBorder="1" applyAlignment="1">
      <alignment horizontal="center"/>
    </xf>
    <xf numFmtId="0" fontId="12" fillId="8" borderId="8" xfId="0" applyFont="1" applyFill="1" applyBorder="1" applyAlignment="1">
      <alignment horizontal="right"/>
    </xf>
    <xf numFmtId="165" fontId="14" fillId="8" borderId="8" xfId="0" applyNumberFormat="1" applyFont="1" applyFill="1" applyBorder="1" applyAlignment="1">
      <alignment horizontal="right"/>
    </xf>
    <xf numFmtId="166" fontId="19" fillId="8" borderId="8" xfId="0" applyNumberFormat="1" applyFont="1" applyFill="1" applyBorder="1"/>
    <xf numFmtId="166" fontId="12" fillId="8" borderId="8" xfId="0" applyNumberFormat="1" applyFont="1" applyFill="1" applyBorder="1" applyAlignment="1">
      <alignment horizontal="center"/>
    </xf>
    <xf numFmtId="0" fontId="12" fillId="0" borderId="8" xfId="0" applyFont="1" applyBorder="1" applyAlignment="1">
      <alignment horizontal="right"/>
    </xf>
    <xf numFmtId="0" fontId="20" fillId="0" borderId="8" xfId="0" applyFont="1" applyBorder="1" applyAlignment="1">
      <alignment horizontal="center"/>
    </xf>
    <xf numFmtId="0" fontId="14" fillId="12" borderId="3" xfId="0" applyFont="1" applyFill="1" applyBorder="1" applyAlignment="1" applyProtection="1">
      <alignment horizontal="right"/>
      <protection locked="0"/>
    </xf>
    <xf numFmtId="165" fontId="14" fillId="12" borderId="3" xfId="0" applyNumberFormat="1" applyFont="1" applyFill="1" applyBorder="1" applyAlignment="1" applyProtection="1">
      <alignment horizontal="center"/>
      <protection locked="0"/>
    </xf>
    <xf numFmtId="0" fontId="14" fillId="12" borderId="3" xfId="0" applyFont="1" applyFill="1" applyBorder="1" applyAlignment="1" applyProtection="1">
      <alignment horizontal="center" vertical="center"/>
      <protection locked="0"/>
    </xf>
    <xf numFmtId="0" fontId="14" fillId="12" borderId="5" xfId="0" applyFont="1" applyFill="1" applyBorder="1" applyAlignment="1" applyProtection="1">
      <alignment horizontal="right"/>
      <protection locked="0"/>
    </xf>
    <xf numFmtId="3" fontId="14" fillId="12" borderId="6" xfId="0" applyNumberFormat="1" applyFont="1" applyFill="1" applyBorder="1" applyAlignment="1" applyProtection="1">
      <alignment horizontal="center"/>
      <protection locked="0"/>
    </xf>
    <xf numFmtId="0" fontId="14" fillId="12" borderId="6" xfId="0" applyFont="1" applyFill="1" applyBorder="1" applyAlignment="1" applyProtection="1">
      <alignment horizontal="center" vertical="center"/>
      <protection locked="0"/>
    </xf>
    <xf numFmtId="165" fontId="12" fillId="8" borderId="8" xfId="0" applyNumberFormat="1" applyFont="1" applyFill="1" applyBorder="1" applyAlignment="1">
      <alignment horizontal="center"/>
    </xf>
    <xf numFmtId="166" fontId="19" fillId="9" borderId="8" xfId="0" applyNumberFormat="1" applyFont="1" applyFill="1" applyBorder="1"/>
    <xf numFmtId="166" fontId="12" fillId="9" borderId="8" xfId="0" applyNumberFormat="1" applyFont="1" applyFill="1" applyBorder="1" applyAlignment="1">
      <alignment horizontal="center"/>
    </xf>
    <xf numFmtId="165" fontId="14" fillId="0" borderId="0" xfId="0" applyNumberFormat="1" applyFont="1" applyAlignment="1">
      <alignment horizontal="right"/>
    </xf>
    <xf numFmtId="166" fontId="19" fillId="0" borderId="0" xfId="0" applyNumberFormat="1" applyFont="1"/>
    <xf numFmtId="166" fontId="12" fillId="0" borderId="8" xfId="0" applyNumberFormat="1" applyFont="1" applyBorder="1" applyAlignment="1">
      <alignment horizontal="center"/>
    </xf>
    <xf numFmtId="0" fontId="19" fillId="9" borderId="8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7" fillId="12" borderId="3" xfId="0" applyFont="1" applyFill="1" applyBorder="1" applyAlignment="1" applyProtection="1">
      <alignment horizontal="right"/>
      <protection locked="0"/>
    </xf>
    <xf numFmtId="0" fontId="19" fillId="8" borderId="8" xfId="0" applyFont="1" applyFill="1" applyBorder="1" applyAlignment="1">
      <alignment horizontal="right"/>
    </xf>
    <xf numFmtId="165" fontId="18" fillId="8" borderId="8" xfId="0" applyNumberFormat="1" applyFont="1" applyFill="1" applyBorder="1" applyAlignment="1">
      <alignment horizontal="right"/>
    </xf>
    <xf numFmtId="0" fontId="18" fillId="12" borderId="3" xfId="0" applyFont="1" applyFill="1" applyBorder="1" applyAlignment="1" applyProtection="1">
      <alignment horizontal="center" vertical="center"/>
      <protection locked="0"/>
    </xf>
    <xf numFmtId="0" fontId="18" fillId="12" borderId="6" xfId="0" applyFont="1" applyFill="1" applyBorder="1" applyAlignment="1" applyProtection="1">
      <alignment horizontal="center" vertical="center"/>
      <protection locked="0"/>
    </xf>
    <xf numFmtId="165" fontId="19" fillId="8" borderId="8" xfId="0" applyNumberFormat="1" applyFont="1" applyFill="1" applyBorder="1" applyAlignment="1">
      <alignment horizontal="center"/>
    </xf>
    <xf numFmtId="0" fontId="21" fillId="0" borderId="0" xfId="0" applyFont="1"/>
    <xf numFmtId="0" fontId="12" fillId="3" borderId="8" xfId="0" applyFont="1" applyFill="1" applyBorder="1" applyAlignment="1">
      <alignment horizontal="right"/>
    </xf>
    <xf numFmtId="0" fontId="12" fillId="3" borderId="8" xfId="0" applyFont="1" applyFill="1" applyBorder="1" applyAlignment="1">
      <alignment horizontal="center"/>
    </xf>
    <xf numFmtId="0" fontId="19" fillId="3" borderId="8" xfId="0" applyFont="1" applyFill="1" applyBorder="1" applyAlignment="1">
      <alignment horizontal="center"/>
    </xf>
    <xf numFmtId="0" fontId="17" fillId="2" borderId="3" xfId="0" applyFont="1" applyFill="1" applyBorder="1" applyAlignment="1" applyProtection="1">
      <alignment horizontal="right"/>
      <protection locked="0"/>
    </xf>
    <xf numFmtId="165" fontId="18" fillId="2" borderId="3" xfId="0" applyNumberFormat="1" applyFont="1" applyFill="1" applyBorder="1" applyAlignment="1" applyProtection="1">
      <alignment horizontal="center"/>
      <protection locked="0"/>
    </xf>
    <xf numFmtId="0" fontId="18" fillId="2" borderId="3" xfId="0" applyFont="1" applyFill="1" applyBorder="1" applyAlignment="1" applyProtection="1">
      <alignment horizontal="right"/>
      <protection locked="0"/>
    </xf>
    <xf numFmtId="3" fontId="18" fillId="2" borderId="3" xfId="0" applyNumberFormat="1" applyFont="1" applyFill="1" applyBorder="1" applyAlignment="1" applyProtection="1">
      <alignment horizontal="center" vertical="center"/>
      <protection locked="0"/>
    </xf>
    <xf numFmtId="8" fontId="18" fillId="2" borderId="3" xfId="0" applyNumberFormat="1" applyFont="1" applyFill="1" applyBorder="1" applyAlignment="1" applyProtection="1">
      <alignment horizontal="center" vertical="center"/>
      <protection locked="0"/>
    </xf>
    <xf numFmtId="0" fontId="18" fillId="2" borderId="5" xfId="0" applyFont="1" applyFill="1" applyBorder="1" applyAlignment="1" applyProtection="1">
      <alignment horizontal="right"/>
      <protection locked="0"/>
    </xf>
    <xf numFmtId="3" fontId="18" fillId="2" borderId="6" xfId="0" applyNumberFormat="1" applyFont="1" applyFill="1" applyBorder="1" applyAlignment="1" applyProtection="1">
      <alignment horizontal="center"/>
      <protection locked="0"/>
    </xf>
    <xf numFmtId="167" fontId="18" fillId="2" borderId="6" xfId="0" applyNumberFormat="1" applyFont="1" applyFill="1" applyBorder="1" applyAlignment="1" applyProtection="1">
      <alignment horizontal="center"/>
      <protection locked="0"/>
    </xf>
    <xf numFmtId="0" fontId="19" fillId="5" borderId="8" xfId="0" applyFont="1" applyFill="1" applyBorder="1" applyAlignment="1">
      <alignment horizontal="right"/>
    </xf>
    <xf numFmtId="165" fontId="18" fillId="5" borderId="8" xfId="0" applyNumberFormat="1" applyFont="1" applyFill="1" applyBorder="1" applyAlignment="1">
      <alignment horizontal="right"/>
    </xf>
    <xf numFmtId="166" fontId="19" fillId="5" borderId="8" xfId="0" applyNumberFormat="1" applyFont="1" applyFill="1" applyBorder="1"/>
    <xf numFmtId="166" fontId="12" fillId="5" borderId="8" xfId="0" applyNumberFormat="1" applyFont="1" applyFill="1" applyBorder="1" applyAlignment="1">
      <alignment horizontal="center"/>
    </xf>
    <xf numFmtId="0" fontId="18" fillId="2" borderId="3" xfId="0" applyFont="1" applyFill="1" applyBorder="1" applyAlignment="1" applyProtection="1">
      <alignment horizontal="center" vertical="center"/>
      <protection locked="0"/>
    </xf>
    <xf numFmtId="0" fontId="18" fillId="2" borderId="6" xfId="0" applyFont="1" applyFill="1" applyBorder="1" applyAlignment="1" applyProtection="1">
      <alignment horizontal="center" vertical="center"/>
      <protection locked="0"/>
    </xf>
    <xf numFmtId="165" fontId="19" fillId="5" borderId="8" xfId="0" applyNumberFormat="1" applyFont="1" applyFill="1" applyBorder="1" applyAlignment="1">
      <alignment horizontal="center"/>
    </xf>
    <xf numFmtId="166" fontId="19" fillId="3" borderId="8" xfId="0" applyNumberFormat="1" applyFont="1" applyFill="1" applyBorder="1"/>
    <xf numFmtId="166" fontId="12" fillId="3" borderId="8" xfId="0" applyNumberFormat="1" applyFont="1" applyFill="1" applyBorder="1" applyAlignment="1">
      <alignment horizontal="center"/>
    </xf>
    <xf numFmtId="166" fontId="12" fillId="0" borderId="0" xfId="0" applyNumberFormat="1" applyFont="1"/>
    <xf numFmtId="0" fontId="14" fillId="0" borderId="10" xfId="0" applyFont="1" applyBorder="1"/>
    <xf numFmtId="0" fontId="13" fillId="0" borderId="10" xfId="0" applyFont="1" applyBorder="1"/>
    <xf numFmtId="0" fontId="21" fillId="0" borderId="10" xfId="0" applyFont="1" applyBorder="1"/>
    <xf numFmtId="165" fontId="18" fillId="0" borderId="10" xfId="0" applyNumberFormat="1" applyFont="1" applyBorder="1"/>
    <xf numFmtId="0" fontId="13" fillId="0" borderId="1" xfId="0" applyFont="1" applyBorder="1"/>
    <xf numFmtId="0" fontId="21" fillId="0" borderId="1" xfId="0" applyFont="1" applyBorder="1"/>
    <xf numFmtId="165" fontId="18" fillId="12" borderId="1" xfId="0" applyNumberFormat="1" applyFont="1" applyFill="1" applyBorder="1" applyAlignment="1" applyProtection="1">
      <alignment horizontal="right"/>
      <protection locked="0"/>
    </xf>
    <xf numFmtId="0" fontId="22" fillId="0" borderId="9" xfId="0" applyFont="1" applyBorder="1"/>
    <xf numFmtId="0" fontId="13" fillId="0" borderId="9" xfId="0" applyFont="1" applyBorder="1"/>
    <xf numFmtId="0" fontId="21" fillId="0" borderId="9" xfId="0" applyFont="1" applyBorder="1"/>
    <xf numFmtId="165" fontId="23" fillId="0" borderId="9" xfId="0" applyNumberFormat="1" applyFont="1" applyBorder="1"/>
    <xf numFmtId="0" fontId="24" fillId="0" borderId="0" xfId="0" applyFont="1"/>
    <xf numFmtId="0" fontId="14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5" fillId="0" borderId="0" xfId="0" applyFont="1"/>
    <xf numFmtId="166" fontId="26" fillId="0" borderId="0" xfId="0" applyNumberFormat="1" applyFont="1" applyAlignment="1">
      <alignment horizontal="center"/>
    </xf>
    <xf numFmtId="166" fontId="27" fillId="0" borderId="0" xfId="0" applyNumberFormat="1" applyFont="1" applyAlignment="1">
      <alignment horizontal="center"/>
    </xf>
    <xf numFmtId="0" fontId="28" fillId="0" borderId="0" xfId="0" applyFont="1"/>
    <xf numFmtId="166" fontId="29" fillId="0" borderId="0" xfId="0" applyNumberFormat="1" applyFont="1" applyAlignment="1">
      <alignment horizontal="center"/>
    </xf>
    <xf numFmtId="166" fontId="30" fillId="0" borderId="0" xfId="0" applyNumberFormat="1" applyFont="1" applyAlignment="1">
      <alignment horizontal="center"/>
    </xf>
    <xf numFmtId="0" fontId="31" fillId="0" borderId="0" xfId="0" applyFont="1"/>
    <xf numFmtId="166" fontId="32" fillId="0" borderId="0" xfId="0" applyNumberFormat="1" applyFont="1" applyAlignment="1">
      <alignment horizontal="center"/>
    </xf>
    <xf numFmtId="166" fontId="33" fillId="0" borderId="0" xfId="0" applyNumberFormat="1" applyFont="1" applyAlignment="1">
      <alignment horizontal="center"/>
    </xf>
    <xf numFmtId="166" fontId="12" fillId="0" borderId="0" xfId="0" applyNumberFormat="1" applyFont="1" applyAlignment="1">
      <alignment horizontal="center"/>
    </xf>
    <xf numFmtId="0" fontId="22" fillId="0" borderId="0" xfId="0" applyFont="1"/>
    <xf numFmtId="166" fontId="13" fillId="0" borderId="0" xfId="0" applyNumberFormat="1" applyFont="1"/>
    <xf numFmtId="164" fontId="13" fillId="0" borderId="0" xfId="0" applyNumberFormat="1" applyFont="1"/>
    <xf numFmtId="2" fontId="13" fillId="0" borderId="0" xfId="0" applyNumberFormat="1" applyFont="1"/>
    <xf numFmtId="0" fontId="12" fillId="0" borderId="0" xfId="0" applyFont="1" applyAlignment="1">
      <alignment horizontal="left"/>
    </xf>
    <xf numFmtId="0" fontId="14" fillId="12" borderId="1" xfId="0" applyFont="1" applyFill="1" applyBorder="1" applyAlignment="1" applyProtection="1">
      <alignment horizontal="center" vertical="center"/>
      <protection locked="0"/>
    </xf>
    <xf numFmtId="0" fontId="10" fillId="6" borderId="1" xfId="0" applyFont="1" applyFill="1" applyBorder="1" applyAlignment="1">
      <alignment horizontal="center" vertical="center"/>
    </xf>
    <xf numFmtId="0" fontId="11" fillId="7" borderId="1" xfId="0" applyFont="1" applyFill="1" applyBorder="1"/>
    <xf numFmtId="0" fontId="12" fillId="9" borderId="8" xfId="0" applyFont="1" applyFill="1" applyBorder="1" applyAlignment="1">
      <alignment horizontal="right"/>
    </xf>
    <xf numFmtId="0" fontId="11" fillId="10" borderId="8" xfId="0" applyFont="1" applyFill="1" applyBorder="1"/>
    <xf numFmtId="0" fontId="12" fillId="3" borderId="8" xfId="0" applyFont="1" applyFill="1" applyBorder="1" applyAlignment="1">
      <alignment horizontal="right"/>
    </xf>
    <xf numFmtId="0" fontId="11" fillId="0" borderId="8" xfId="0" applyFont="1" applyBorder="1"/>
    <xf numFmtId="0" fontId="3" fillId="0" borderId="0" xfId="0" applyFont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5DB00"/>
      <color rgb="FFA2E00A"/>
      <color rgb="FFF26D04"/>
      <color rgb="FF058DCF"/>
      <color rgb="FF009E95"/>
      <color rgb="FFF7F7F5"/>
      <color rgb="FF54585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9" Type="http://customschemas.google.com/relationships/workbookmetadata" Target="metadata"/><Relationship Id="rId14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CA"/>
              <a:t>Life Cycle Costs Compared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8647033915012745"/>
          <c:y val="0.12069541959210967"/>
          <c:w val="0.78958017249803281"/>
          <c:h val="0.63933453905022153"/>
        </c:manualLayout>
      </c:layout>
      <c:barChart>
        <c:barDir val="col"/>
        <c:grouping val="stacked"/>
        <c:varyColors val="1"/>
        <c:ser>
          <c:idx val="0"/>
          <c:order val="0"/>
          <c:tx>
            <c:strRef>
              <c:f>'Summary Results'!$B$7</c:f>
              <c:strCache>
                <c:ptCount val="1"/>
                <c:pt idx="0">
                  <c:v>Initial Cost</c:v>
                </c:pt>
              </c:strCache>
            </c:strRef>
          </c:tx>
          <c:spPr>
            <a:solidFill>
              <a:srgbClr val="058DC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'Summary Results'!$C$6:$D$6</c:f>
              <c:strCache>
                <c:ptCount val="2"/>
                <c:pt idx="0">
                  <c:v>Nominal Building</c:v>
                </c:pt>
                <c:pt idx="1">
                  <c:v>Net Zero</c:v>
                </c:pt>
              </c:strCache>
            </c:strRef>
          </c:cat>
          <c:val>
            <c:numRef>
              <c:f>'Summary Results'!$C$7:$D$7</c:f>
              <c:numCache>
                <c:formatCode>[$$-1009]#,##0</c:formatCode>
                <c:ptCount val="2"/>
                <c:pt idx="0">
                  <c:v>3400000</c:v>
                </c:pt>
                <c:pt idx="1">
                  <c:v>4150000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B11B-40BF-9BE9-4506CDD47004}"/>
            </c:ext>
          </c:extLst>
        </c:ser>
        <c:ser>
          <c:idx val="1"/>
          <c:order val="1"/>
          <c:tx>
            <c:strRef>
              <c:f>'Summary Results'!$B$8</c:f>
              <c:strCache>
                <c:ptCount val="1"/>
                <c:pt idx="0">
                  <c:v>O&amp;M &amp; Carbon Cost</c:v>
                </c:pt>
              </c:strCache>
            </c:strRef>
          </c:tx>
          <c:spPr>
            <a:solidFill>
              <a:srgbClr val="F26D04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'Summary Results'!$C$6:$D$6</c:f>
              <c:strCache>
                <c:ptCount val="2"/>
                <c:pt idx="0">
                  <c:v>Nominal Building</c:v>
                </c:pt>
                <c:pt idx="1">
                  <c:v>Net Zero</c:v>
                </c:pt>
              </c:strCache>
            </c:strRef>
          </c:cat>
          <c:val>
            <c:numRef>
              <c:f>'Summary Results'!$C$8:$D$8</c:f>
              <c:numCache>
                <c:formatCode>[$$-1009]#,##0</c:formatCode>
                <c:ptCount val="2"/>
                <c:pt idx="0">
                  <c:v>995937.64331825194</c:v>
                </c:pt>
                <c:pt idx="1">
                  <c:v>420460.49019735074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B11B-40BF-9BE9-4506CDD47004}"/>
            </c:ext>
          </c:extLst>
        </c:ser>
        <c:ser>
          <c:idx val="2"/>
          <c:order val="2"/>
          <c:tx>
            <c:strRef>
              <c:f>'Summary Results'!$B$9</c:f>
              <c:strCache>
                <c:ptCount val="1"/>
                <c:pt idx="0">
                  <c:v>Energy Cost</c:v>
                </c:pt>
              </c:strCache>
            </c:strRef>
          </c:tx>
          <c:spPr>
            <a:solidFill>
              <a:srgbClr val="A2E00A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'Summary Results'!$C$6:$D$6</c:f>
              <c:strCache>
                <c:ptCount val="2"/>
                <c:pt idx="0">
                  <c:v>Nominal Building</c:v>
                </c:pt>
                <c:pt idx="1">
                  <c:v>Net Zero</c:v>
                </c:pt>
              </c:strCache>
            </c:strRef>
          </c:cat>
          <c:val>
            <c:numRef>
              <c:f>'Summary Results'!$C$9:$D$9</c:f>
              <c:numCache>
                <c:formatCode>[$$-1009]#,##0</c:formatCode>
                <c:ptCount val="2"/>
                <c:pt idx="0">
                  <c:v>479769.60795930267</c:v>
                </c:pt>
                <c:pt idx="1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B11B-40BF-9BE9-4506CDD470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50617661"/>
        <c:axId val="1888017710"/>
      </c:barChart>
      <c:catAx>
        <c:axId val="65061766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endParaRPr lang="en-CA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888017710"/>
        <c:crosses val="autoZero"/>
        <c:auto val="1"/>
        <c:lblAlgn val="ctr"/>
        <c:lblOffset val="100"/>
        <c:noMultiLvlLbl val="1"/>
      </c:catAx>
      <c:valAx>
        <c:axId val="188801771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endParaRPr lang="en-CA"/>
              </a:p>
            </c:rich>
          </c:tx>
          <c:overlay val="0"/>
        </c:title>
        <c:numFmt formatCode="[$$-1009]#,##0" sourceLinked="1"/>
        <c:majorTickMark val="none"/>
        <c:minorTickMark val="none"/>
        <c:tickLblPos val="nextTo"/>
        <c:spPr>
          <a:ln/>
        </c:spPr>
        <c:crossAx val="650617661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7834208509697234"/>
          <c:y val="0.89948770195099736"/>
          <c:w val="0.58265813605435179"/>
          <c:h val="5.7048573542148755E-2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1"/>
  </c:chart>
  <c:spPr>
    <a:solidFill>
      <a:srgbClr val="FFFFFF"/>
    </a:solidFill>
  </c:spPr>
  <c:txPr>
    <a:bodyPr/>
    <a:lstStyle/>
    <a:p>
      <a:pPr>
        <a:defRPr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95249</xdr:colOff>
      <xdr:row>0</xdr:row>
      <xdr:rowOff>0</xdr:rowOff>
    </xdr:from>
    <xdr:to>
      <xdr:col>2</xdr:col>
      <xdr:colOff>130933</xdr:colOff>
      <xdr:row>1</xdr:row>
      <xdr:rowOff>133350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C10F24F-3DA7-CC42-63E7-748708EAD3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62868" b="77620"/>
        <a:stretch/>
      </xdr:blipFill>
      <xdr:spPr>
        <a:xfrm>
          <a:off x="95249" y="0"/>
          <a:ext cx="1895917" cy="5048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561975</xdr:colOff>
      <xdr:row>1</xdr:row>
      <xdr:rowOff>87630</xdr:rowOff>
    </xdr:from>
    <xdr:ext cx="5833110" cy="3798570"/>
    <xdr:graphicFrame macro="">
      <xdr:nvGraphicFramePr>
        <xdr:cNvPr id="2" name="Chart 1" descr="Chart 0">
          <a:extLst>
            <a:ext uri="{FF2B5EF4-FFF2-40B4-BE49-F238E27FC236}">
              <a16:creationId xmlns:a16="http://schemas.microsoft.com/office/drawing/2014/main" id="{8C744680-F879-4CA0-8747-04CF113E9E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AW1001"/>
  <sheetViews>
    <sheetView showGridLines="0" showRowColHeaders="0" tabSelected="1" zoomScaleNormal="100" workbookViewId="0">
      <selection activeCell="E48" sqref="E48"/>
    </sheetView>
  </sheetViews>
  <sheetFormatPr defaultColWidth="12.6640625" defaultRowHeight="15" customHeight="1" x14ac:dyDescent="0.25"/>
  <cols>
    <col min="1" max="1" width="2" customWidth="1"/>
    <col min="2" max="2" width="25" customWidth="1"/>
    <col min="3" max="3" width="10.33203125" customWidth="1"/>
    <col min="4" max="4" width="8.44140625" customWidth="1"/>
    <col min="5" max="5" width="11.77734375" customWidth="1"/>
    <col min="6" max="14" width="8.6640625" customWidth="1"/>
    <col min="15" max="18" width="8.44140625" customWidth="1"/>
    <col min="19" max="29" width="8.44140625" hidden="1" customWidth="1"/>
    <col min="30" max="30" width="10" customWidth="1"/>
    <col min="31" max="31" width="9.109375" customWidth="1"/>
    <col min="32" max="32" width="9.5546875" customWidth="1"/>
    <col min="33" max="33" width="9.6640625" customWidth="1"/>
    <col min="34" max="34" width="9.44140625" customWidth="1"/>
    <col min="35" max="35" width="10" customWidth="1"/>
    <col min="36" max="36" width="14" customWidth="1"/>
    <col min="37" max="37" width="13.21875" customWidth="1"/>
    <col min="38" max="49" width="8" customWidth="1"/>
  </cols>
  <sheetData>
    <row r="1" spans="1:49" ht="29.4" customHeight="1" x14ac:dyDescent="0.25"/>
    <row r="2" spans="1:49" ht="12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spans="1:49" ht="15" customHeight="1" x14ac:dyDescent="0.25">
      <c r="A3" s="1"/>
      <c r="B3" s="124" t="s">
        <v>0</v>
      </c>
      <c r="C3" s="125"/>
      <c r="D3" s="125"/>
      <c r="E3" s="125"/>
      <c r="F3" s="17"/>
      <c r="G3" s="18"/>
      <c r="H3" s="19" t="s">
        <v>1</v>
      </c>
      <c r="I3" s="20">
        <v>0.02</v>
      </c>
      <c r="J3" s="17"/>
      <c r="K3" s="18"/>
      <c r="L3" s="19" t="s">
        <v>2</v>
      </c>
      <c r="M3" s="20">
        <v>0.04</v>
      </c>
      <c r="N3" s="21"/>
      <c r="O3" s="19" t="s">
        <v>3</v>
      </c>
      <c r="P3" s="20">
        <v>0.03</v>
      </c>
      <c r="Q3" s="19"/>
      <c r="R3" s="19"/>
      <c r="S3" s="18"/>
      <c r="T3" s="18"/>
      <c r="U3" s="18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8"/>
      <c r="AK3" s="22"/>
      <c r="AL3" s="18"/>
    </row>
    <row r="4" spans="1:49" ht="12.75" customHeight="1" x14ac:dyDescent="0.25">
      <c r="A4" s="1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18"/>
    </row>
    <row r="5" spans="1:49" ht="12.6" customHeight="1" x14ac:dyDescent="0.25">
      <c r="A5" s="1"/>
      <c r="B5" s="24" t="s">
        <v>4</v>
      </c>
      <c r="C5" s="25" t="s">
        <v>5</v>
      </c>
      <c r="D5" s="25"/>
      <c r="E5" s="25">
        <v>0</v>
      </c>
      <c r="F5" s="25">
        <v>1</v>
      </c>
      <c r="G5" s="25">
        <v>2</v>
      </c>
      <c r="H5" s="25">
        <v>3</v>
      </c>
      <c r="I5" s="25">
        <v>4</v>
      </c>
      <c r="J5" s="25">
        <v>5</v>
      </c>
      <c r="K5" s="25">
        <v>6</v>
      </c>
      <c r="L5" s="25">
        <v>7</v>
      </c>
      <c r="M5" s="25">
        <v>8</v>
      </c>
      <c r="N5" s="25">
        <v>9</v>
      </c>
      <c r="O5" s="25">
        <v>10</v>
      </c>
      <c r="P5" s="25">
        <v>11</v>
      </c>
      <c r="Q5" s="25">
        <v>12</v>
      </c>
      <c r="R5" s="25">
        <v>13</v>
      </c>
      <c r="S5" s="25">
        <v>14</v>
      </c>
      <c r="T5" s="25">
        <v>15</v>
      </c>
      <c r="U5" s="25">
        <v>16</v>
      </c>
      <c r="V5" s="25">
        <v>17</v>
      </c>
      <c r="W5" s="25">
        <v>18</v>
      </c>
      <c r="X5" s="25">
        <v>19</v>
      </c>
      <c r="Y5" s="25">
        <v>20</v>
      </c>
      <c r="Z5" s="25">
        <v>21</v>
      </c>
      <c r="AA5" s="25">
        <v>22</v>
      </c>
      <c r="AB5" s="25">
        <v>23</v>
      </c>
      <c r="AC5" s="25">
        <v>24</v>
      </c>
      <c r="AD5" s="25">
        <v>25</v>
      </c>
      <c r="AE5" s="25">
        <v>26</v>
      </c>
      <c r="AF5" s="25">
        <v>27</v>
      </c>
      <c r="AG5" s="25">
        <v>28</v>
      </c>
      <c r="AH5" s="25">
        <v>29</v>
      </c>
      <c r="AI5" s="25">
        <v>30</v>
      </c>
      <c r="AJ5" s="25" t="s">
        <v>6</v>
      </c>
      <c r="AK5" s="25" t="s">
        <v>7</v>
      </c>
      <c r="AL5" s="18"/>
    </row>
    <row r="6" spans="1:49" ht="12.75" customHeight="1" x14ac:dyDescent="0.25">
      <c r="A6" s="1"/>
      <c r="B6" s="26" t="s">
        <v>49</v>
      </c>
      <c r="C6" s="27">
        <v>3400000</v>
      </c>
      <c r="D6" s="28"/>
      <c r="E6" s="29">
        <f t="shared" ref="E6:AI6" si="0">IF($D6=E$5,$C6,0)</f>
        <v>3400000</v>
      </c>
      <c r="F6" s="29">
        <f t="shared" si="0"/>
        <v>0</v>
      </c>
      <c r="G6" s="29">
        <f t="shared" si="0"/>
        <v>0</v>
      </c>
      <c r="H6" s="29">
        <f t="shared" si="0"/>
        <v>0</v>
      </c>
      <c r="I6" s="29">
        <f t="shared" si="0"/>
        <v>0</v>
      </c>
      <c r="J6" s="29">
        <f t="shared" si="0"/>
        <v>0</v>
      </c>
      <c r="K6" s="29">
        <f t="shared" si="0"/>
        <v>0</v>
      </c>
      <c r="L6" s="29">
        <f t="shared" si="0"/>
        <v>0</v>
      </c>
      <c r="M6" s="29">
        <f t="shared" si="0"/>
        <v>0</v>
      </c>
      <c r="N6" s="29">
        <f t="shared" si="0"/>
        <v>0</v>
      </c>
      <c r="O6" s="29">
        <f t="shared" si="0"/>
        <v>0</v>
      </c>
      <c r="P6" s="29">
        <f t="shared" si="0"/>
        <v>0</v>
      </c>
      <c r="Q6" s="29">
        <f t="shared" si="0"/>
        <v>0</v>
      </c>
      <c r="R6" s="29">
        <f t="shared" si="0"/>
        <v>0</v>
      </c>
      <c r="S6" s="29">
        <f t="shared" si="0"/>
        <v>0</v>
      </c>
      <c r="T6" s="29">
        <f t="shared" si="0"/>
        <v>0</v>
      </c>
      <c r="U6" s="29">
        <f t="shared" si="0"/>
        <v>0</v>
      </c>
      <c r="V6" s="29">
        <f t="shared" si="0"/>
        <v>0</v>
      </c>
      <c r="W6" s="29">
        <f t="shared" si="0"/>
        <v>0</v>
      </c>
      <c r="X6" s="29">
        <f t="shared" si="0"/>
        <v>0</v>
      </c>
      <c r="Y6" s="29">
        <f t="shared" si="0"/>
        <v>0</v>
      </c>
      <c r="Z6" s="29">
        <f t="shared" si="0"/>
        <v>0</v>
      </c>
      <c r="AA6" s="29">
        <f t="shared" si="0"/>
        <v>0</v>
      </c>
      <c r="AB6" s="29">
        <f t="shared" si="0"/>
        <v>0</v>
      </c>
      <c r="AC6" s="29">
        <f t="shared" si="0"/>
        <v>0</v>
      </c>
      <c r="AD6" s="29">
        <f t="shared" si="0"/>
        <v>0</v>
      </c>
      <c r="AE6" s="29">
        <f t="shared" si="0"/>
        <v>0</v>
      </c>
      <c r="AF6" s="29">
        <f t="shared" si="0"/>
        <v>0</v>
      </c>
      <c r="AG6" s="29">
        <f t="shared" si="0"/>
        <v>0</v>
      </c>
      <c r="AH6" s="29">
        <f t="shared" si="0"/>
        <v>0</v>
      </c>
      <c r="AI6" s="29">
        <f t="shared" si="0"/>
        <v>0</v>
      </c>
      <c r="AJ6" s="30">
        <f>E6</f>
        <v>3400000</v>
      </c>
      <c r="AK6" s="31" t="str">
        <f>TEXT(horizon,0)&amp;" Years"</f>
        <v>30 Years</v>
      </c>
      <c r="AL6" s="18"/>
    </row>
    <row r="7" spans="1:49" ht="12.75" customHeight="1" x14ac:dyDescent="0.25">
      <c r="A7" s="1"/>
      <c r="B7" s="32" t="s">
        <v>8</v>
      </c>
      <c r="C7" s="33" t="s">
        <v>9</v>
      </c>
      <c r="D7" s="33" t="s">
        <v>10</v>
      </c>
      <c r="E7" s="33" t="s">
        <v>11</v>
      </c>
      <c r="F7" s="34">
        <v>1</v>
      </c>
      <c r="G7" s="34">
        <v>2</v>
      </c>
      <c r="H7" s="34">
        <v>3</v>
      </c>
      <c r="I7" s="34">
        <v>4</v>
      </c>
      <c r="J7" s="34">
        <v>5</v>
      </c>
      <c r="K7" s="34">
        <v>6</v>
      </c>
      <c r="L7" s="34">
        <v>7</v>
      </c>
      <c r="M7" s="34">
        <v>8</v>
      </c>
      <c r="N7" s="34">
        <v>9</v>
      </c>
      <c r="O7" s="34">
        <v>10</v>
      </c>
      <c r="P7" s="34">
        <v>11</v>
      </c>
      <c r="Q7" s="34">
        <v>12</v>
      </c>
      <c r="R7" s="34">
        <v>13</v>
      </c>
      <c r="S7" s="34">
        <v>14</v>
      </c>
      <c r="T7" s="34">
        <v>15</v>
      </c>
      <c r="U7" s="34">
        <v>16</v>
      </c>
      <c r="V7" s="34">
        <v>17</v>
      </c>
      <c r="W7" s="34">
        <v>18</v>
      </c>
      <c r="X7" s="34">
        <v>19</v>
      </c>
      <c r="Y7" s="34">
        <v>20</v>
      </c>
      <c r="Z7" s="34">
        <v>21</v>
      </c>
      <c r="AA7" s="34">
        <v>22</v>
      </c>
      <c r="AB7" s="34">
        <v>23</v>
      </c>
      <c r="AC7" s="34">
        <v>24</v>
      </c>
      <c r="AD7" s="34">
        <v>25</v>
      </c>
      <c r="AE7" s="34">
        <v>26</v>
      </c>
      <c r="AF7" s="34">
        <v>27</v>
      </c>
      <c r="AG7" s="34">
        <v>28</v>
      </c>
      <c r="AH7" s="34">
        <v>29</v>
      </c>
      <c r="AI7" s="34">
        <v>30</v>
      </c>
      <c r="AJ7" s="35"/>
      <c r="AK7" s="36"/>
      <c r="AL7" s="2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</row>
    <row r="8" spans="1:49" ht="12.75" customHeight="1" x14ac:dyDescent="0.25">
      <c r="A8" s="1"/>
      <c r="B8" s="37" t="s">
        <v>12</v>
      </c>
      <c r="C8" s="38">
        <v>54000</v>
      </c>
      <c r="D8" s="39">
        <v>0.18</v>
      </c>
      <c r="E8" s="29">
        <f>C8*D8</f>
        <v>9720</v>
      </c>
      <c r="F8" s="29">
        <f t="shared" ref="F8:O9" si="1">$E8*(1+eirate)^F$7</f>
        <v>10108.800000000001</v>
      </c>
      <c r="G8" s="29">
        <f t="shared" si="1"/>
        <v>10513.152000000002</v>
      </c>
      <c r="H8" s="29">
        <f t="shared" si="1"/>
        <v>10933.678080000002</v>
      </c>
      <c r="I8" s="29">
        <f t="shared" si="1"/>
        <v>11371.025203200003</v>
      </c>
      <c r="J8" s="29">
        <f t="shared" si="1"/>
        <v>11825.866211328002</v>
      </c>
      <c r="K8" s="29">
        <f t="shared" si="1"/>
        <v>12298.900859781124</v>
      </c>
      <c r="L8" s="29">
        <f t="shared" si="1"/>
        <v>12790.856894172368</v>
      </c>
      <c r="M8" s="29">
        <f t="shared" si="1"/>
        <v>13302.491169939265</v>
      </c>
      <c r="N8" s="29">
        <f t="shared" si="1"/>
        <v>13834.590816736836</v>
      </c>
      <c r="O8" s="29">
        <f t="shared" si="1"/>
        <v>14387.974449406309</v>
      </c>
      <c r="P8" s="29">
        <f t="shared" ref="P8:Y9" si="2">$E8*(1+eirate)^P$7</f>
        <v>14963.49342738256</v>
      </c>
      <c r="Q8" s="29">
        <f t="shared" si="2"/>
        <v>15562.033164477867</v>
      </c>
      <c r="R8" s="29">
        <f t="shared" si="2"/>
        <v>16184.514491056982</v>
      </c>
      <c r="S8" s="29">
        <f t="shared" si="2"/>
        <v>16831.895070699262</v>
      </c>
      <c r="T8" s="29">
        <f t="shared" si="2"/>
        <v>17505.17087352723</v>
      </c>
      <c r="U8" s="29">
        <f t="shared" si="2"/>
        <v>18205.377708468324</v>
      </c>
      <c r="V8" s="29">
        <f t="shared" si="2"/>
        <v>18933.592816807057</v>
      </c>
      <c r="W8" s="29">
        <f t="shared" si="2"/>
        <v>19690.936529479342</v>
      </c>
      <c r="X8" s="29">
        <f t="shared" si="2"/>
        <v>20478.573990658515</v>
      </c>
      <c r="Y8" s="29">
        <f t="shared" si="2"/>
        <v>21297.716950284856</v>
      </c>
      <c r="Z8" s="29">
        <f t="shared" ref="Z8:AI9" si="3">$E8*(1+eirate)^Z$7</f>
        <v>22149.625628296253</v>
      </c>
      <c r="AA8" s="29">
        <f t="shared" si="3"/>
        <v>23035.610653428103</v>
      </c>
      <c r="AB8" s="29">
        <f t="shared" si="3"/>
        <v>23957.035079565227</v>
      </c>
      <c r="AC8" s="29">
        <f t="shared" si="3"/>
        <v>24915.316482747836</v>
      </c>
      <c r="AD8" s="29">
        <f t="shared" si="3"/>
        <v>25911.929142057754</v>
      </c>
      <c r="AE8" s="29">
        <f t="shared" si="3"/>
        <v>26948.406307740061</v>
      </c>
      <c r="AF8" s="29">
        <f t="shared" si="3"/>
        <v>28026.342560049667</v>
      </c>
      <c r="AG8" s="29">
        <f t="shared" si="3"/>
        <v>29147.396262451657</v>
      </c>
      <c r="AH8" s="29">
        <f t="shared" si="3"/>
        <v>30313.292112949726</v>
      </c>
      <c r="AI8" s="29">
        <f t="shared" si="3"/>
        <v>31525.82379746771</v>
      </c>
      <c r="AJ8" s="40"/>
      <c r="AK8" s="36"/>
      <c r="AL8" s="18"/>
    </row>
    <row r="9" spans="1:49" ht="12.75" customHeight="1" x14ac:dyDescent="0.25">
      <c r="A9" s="1"/>
      <c r="B9" s="41" t="s">
        <v>13</v>
      </c>
      <c r="C9" s="42">
        <v>10000</v>
      </c>
      <c r="D9" s="43">
        <v>0.4</v>
      </c>
      <c r="E9" s="44">
        <f>D9*C9</f>
        <v>4000</v>
      </c>
      <c r="F9" s="44">
        <f t="shared" si="1"/>
        <v>4160</v>
      </c>
      <c r="G9" s="44">
        <f t="shared" si="1"/>
        <v>4326.4000000000005</v>
      </c>
      <c r="H9" s="44">
        <f t="shared" si="1"/>
        <v>4499.4560000000001</v>
      </c>
      <c r="I9" s="44">
        <f t="shared" si="1"/>
        <v>4679.4342400000005</v>
      </c>
      <c r="J9" s="44">
        <f t="shared" si="1"/>
        <v>4866.6116096000014</v>
      </c>
      <c r="K9" s="44">
        <f t="shared" si="1"/>
        <v>5061.2760739840014</v>
      </c>
      <c r="L9" s="44">
        <f t="shared" si="1"/>
        <v>5263.7271169433607</v>
      </c>
      <c r="M9" s="44">
        <f t="shared" si="1"/>
        <v>5474.2762016210963</v>
      </c>
      <c r="N9" s="44">
        <f t="shared" si="1"/>
        <v>5693.2472496859409</v>
      </c>
      <c r="O9" s="44">
        <f t="shared" si="1"/>
        <v>5920.9771396733786</v>
      </c>
      <c r="P9" s="44">
        <f t="shared" si="2"/>
        <v>6157.8162252603133</v>
      </c>
      <c r="Q9" s="44">
        <f t="shared" si="2"/>
        <v>6404.1288742707266</v>
      </c>
      <c r="R9" s="44">
        <f t="shared" si="2"/>
        <v>6660.294029241556</v>
      </c>
      <c r="S9" s="44">
        <f t="shared" si="2"/>
        <v>6926.705790411218</v>
      </c>
      <c r="T9" s="44">
        <f t="shared" si="2"/>
        <v>7203.7740220276673</v>
      </c>
      <c r="U9" s="44">
        <f t="shared" si="2"/>
        <v>7491.9249829087748</v>
      </c>
      <c r="V9" s="44">
        <f t="shared" si="2"/>
        <v>7791.6019822251264</v>
      </c>
      <c r="W9" s="44">
        <f t="shared" si="2"/>
        <v>8103.2660615141322</v>
      </c>
      <c r="X9" s="44">
        <f t="shared" si="2"/>
        <v>8427.3967039746967</v>
      </c>
      <c r="Y9" s="44">
        <f t="shared" si="2"/>
        <v>8764.4925721336858</v>
      </c>
      <c r="Z9" s="44">
        <f t="shared" si="3"/>
        <v>9115.0722750190344</v>
      </c>
      <c r="AA9" s="44">
        <f t="shared" si="3"/>
        <v>9479.6751660197951</v>
      </c>
      <c r="AB9" s="44">
        <f t="shared" si="3"/>
        <v>9858.862172660587</v>
      </c>
      <c r="AC9" s="44">
        <f t="shared" si="3"/>
        <v>10253.216659567011</v>
      </c>
      <c r="AD9" s="44">
        <f t="shared" si="3"/>
        <v>10663.345325949693</v>
      </c>
      <c r="AE9" s="44">
        <f t="shared" si="3"/>
        <v>11089.879138987681</v>
      </c>
      <c r="AF9" s="44">
        <f t="shared" si="3"/>
        <v>11533.474304547188</v>
      </c>
      <c r="AG9" s="44">
        <f t="shared" si="3"/>
        <v>11994.813276729077</v>
      </c>
      <c r="AH9" s="44">
        <f t="shared" si="3"/>
        <v>12474.605807798242</v>
      </c>
      <c r="AI9" s="44">
        <f t="shared" si="3"/>
        <v>12973.59004011017</v>
      </c>
      <c r="AJ9" s="45"/>
      <c r="AK9" s="36"/>
      <c r="AL9" s="18"/>
    </row>
    <row r="10" spans="1:49" ht="12.75" customHeight="1" x14ac:dyDescent="0.25">
      <c r="A10" s="1"/>
      <c r="B10" s="46" t="s">
        <v>14</v>
      </c>
      <c r="C10" s="47"/>
      <c r="D10" s="46"/>
      <c r="E10" s="48">
        <f t="shared" ref="E10:AI10" si="4">SUM(E8:E9)</f>
        <v>13720</v>
      </c>
      <c r="F10" s="48">
        <f t="shared" si="4"/>
        <v>14268.800000000001</v>
      </c>
      <c r="G10" s="48">
        <f t="shared" si="4"/>
        <v>14839.552000000003</v>
      </c>
      <c r="H10" s="48">
        <f t="shared" si="4"/>
        <v>15433.134080000002</v>
      </c>
      <c r="I10" s="48">
        <f t="shared" si="4"/>
        <v>16050.459443200003</v>
      </c>
      <c r="J10" s="48">
        <f t="shared" si="4"/>
        <v>16692.477820928005</v>
      </c>
      <c r="K10" s="48">
        <f t="shared" si="4"/>
        <v>17360.176933765128</v>
      </c>
      <c r="L10" s="48">
        <f t="shared" si="4"/>
        <v>18054.58401111573</v>
      </c>
      <c r="M10" s="48">
        <f t="shared" si="4"/>
        <v>18776.76737156036</v>
      </c>
      <c r="N10" s="48">
        <f t="shared" si="4"/>
        <v>19527.838066422777</v>
      </c>
      <c r="O10" s="48">
        <f t="shared" si="4"/>
        <v>20308.951589079687</v>
      </c>
      <c r="P10" s="48">
        <f t="shared" si="4"/>
        <v>21121.309652642874</v>
      </c>
      <c r="Q10" s="48">
        <f t="shared" si="4"/>
        <v>21966.162038748593</v>
      </c>
      <c r="R10" s="48">
        <f t="shared" si="4"/>
        <v>22844.808520298538</v>
      </c>
      <c r="S10" s="48">
        <f t="shared" si="4"/>
        <v>23758.600861110481</v>
      </c>
      <c r="T10" s="48">
        <f t="shared" si="4"/>
        <v>24708.944895554898</v>
      </c>
      <c r="U10" s="48">
        <f t="shared" si="4"/>
        <v>25697.302691377099</v>
      </c>
      <c r="V10" s="48">
        <f t="shared" si="4"/>
        <v>26725.194799032182</v>
      </c>
      <c r="W10" s="48">
        <f t="shared" si="4"/>
        <v>27794.202590993475</v>
      </c>
      <c r="X10" s="48">
        <f t="shared" si="4"/>
        <v>28905.970694633212</v>
      </c>
      <c r="Y10" s="48">
        <f t="shared" si="4"/>
        <v>30062.20952241854</v>
      </c>
      <c r="Z10" s="48">
        <f t="shared" si="4"/>
        <v>31264.697903315289</v>
      </c>
      <c r="AA10" s="48">
        <f t="shared" si="4"/>
        <v>32515.285819447898</v>
      </c>
      <c r="AB10" s="48">
        <f t="shared" si="4"/>
        <v>33815.897252225812</v>
      </c>
      <c r="AC10" s="48">
        <f t="shared" si="4"/>
        <v>35168.533142314845</v>
      </c>
      <c r="AD10" s="48">
        <f t="shared" si="4"/>
        <v>36575.274468007447</v>
      </c>
      <c r="AE10" s="48">
        <f t="shared" si="4"/>
        <v>38038.285446727743</v>
      </c>
      <c r="AF10" s="48">
        <f t="shared" si="4"/>
        <v>39559.816864596854</v>
      </c>
      <c r="AG10" s="48">
        <f t="shared" si="4"/>
        <v>41142.209539180738</v>
      </c>
      <c r="AH10" s="48">
        <f t="shared" si="4"/>
        <v>42787.897920747972</v>
      </c>
      <c r="AI10" s="48">
        <f t="shared" si="4"/>
        <v>44499.413837577878</v>
      </c>
      <c r="AJ10" s="49">
        <f t="array" ref="AJ10">NPV(discrate,F10:AI10)</f>
        <v>479769.60795930267</v>
      </c>
      <c r="AK10" s="49">
        <f>'Detailed Results'!C34</f>
        <v>479769.60795930267</v>
      </c>
      <c r="AL10" s="18"/>
    </row>
    <row r="11" spans="1:49" ht="12.75" customHeight="1" x14ac:dyDescent="0.25">
      <c r="A11" s="1"/>
      <c r="B11" s="50" t="s">
        <v>15</v>
      </c>
      <c r="C11" s="35" t="s">
        <v>5</v>
      </c>
      <c r="D11" s="35" t="s">
        <v>16</v>
      </c>
      <c r="E11" s="33">
        <v>0</v>
      </c>
      <c r="F11" s="51">
        <v>1</v>
      </c>
      <c r="G11" s="51">
        <v>2</v>
      </c>
      <c r="H11" s="51">
        <v>3</v>
      </c>
      <c r="I11" s="51">
        <v>4</v>
      </c>
      <c r="J11" s="51">
        <v>5</v>
      </c>
      <c r="K11" s="51">
        <v>6</v>
      </c>
      <c r="L11" s="51">
        <v>7</v>
      </c>
      <c r="M11" s="51">
        <v>8</v>
      </c>
      <c r="N11" s="51">
        <v>9</v>
      </c>
      <c r="O11" s="51">
        <v>10</v>
      </c>
      <c r="P11" s="51">
        <v>11</v>
      </c>
      <c r="Q11" s="51">
        <v>12</v>
      </c>
      <c r="R11" s="51">
        <v>13</v>
      </c>
      <c r="S11" s="51">
        <v>14</v>
      </c>
      <c r="T11" s="51">
        <v>15</v>
      </c>
      <c r="U11" s="51">
        <v>16</v>
      </c>
      <c r="V11" s="51">
        <v>17</v>
      </c>
      <c r="W11" s="51">
        <v>18</v>
      </c>
      <c r="X11" s="51">
        <v>19</v>
      </c>
      <c r="Y11" s="51">
        <v>20</v>
      </c>
      <c r="Z11" s="51">
        <v>21</v>
      </c>
      <c r="AA11" s="51">
        <v>22</v>
      </c>
      <c r="AB11" s="51">
        <v>23</v>
      </c>
      <c r="AC11" s="51">
        <v>24</v>
      </c>
      <c r="AD11" s="51">
        <v>25</v>
      </c>
      <c r="AE11" s="51">
        <v>26</v>
      </c>
      <c r="AF11" s="51">
        <v>27</v>
      </c>
      <c r="AG11" s="51">
        <v>28</v>
      </c>
      <c r="AH11" s="51">
        <v>29</v>
      </c>
      <c r="AI11" s="51">
        <v>30</v>
      </c>
      <c r="AJ11" s="35"/>
      <c r="AK11" s="36"/>
      <c r="AL11" s="18"/>
    </row>
    <row r="12" spans="1:49" ht="12.75" customHeight="1" x14ac:dyDescent="0.25">
      <c r="A12" s="1"/>
      <c r="B12" s="52" t="s">
        <v>17</v>
      </c>
      <c r="C12" s="53">
        <v>35000</v>
      </c>
      <c r="D12" s="54">
        <v>1</v>
      </c>
      <c r="E12" s="29">
        <f>IF($D12,IF(INT(E$11/$D12)=(E$11/$D12),$C12, ),0)</f>
        <v>35000</v>
      </c>
      <c r="F12" s="29">
        <f t="shared" ref="F12:AI12" si="5">IF($D12,IF(INT(F$11/$D12)=(F$11/$D12),$C12, ),0)*(1+oirate)^F$11</f>
        <v>35700</v>
      </c>
      <c r="G12" s="29">
        <f t="shared" si="5"/>
        <v>36414</v>
      </c>
      <c r="H12" s="29">
        <f t="shared" si="5"/>
        <v>37142.28</v>
      </c>
      <c r="I12" s="29">
        <f t="shared" si="5"/>
        <v>37885.125599999999</v>
      </c>
      <c r="J12" s="29">
        <f t="shared" si="5"/>
        <v>38642.828112000003</v>
      </c>
      <c r="K12" s="29">
        <f t="shared" si="5"/>
        <v>39415.684674240001</v>
      </c>
      <c r="L12" s="29">
        <f t="shared" si="5"/>
        <v>40203.998367724795</v>
      </c>
      <c r="M12" s="29">
        <f t="shared" si="5"/>
        <v>41008.078335079292</v>
      </c>
      <c r="N12" s="29">
        <f t="shared" si="5"/>
        <v>41828.239901780878</v>
      </c>
      <c r="O12" s="29">
        <f t="shared" si="5"/>
        <v>42664.804699816501</v>
      </c>
      <c r="P12" s="29">
        <f t="shared" si="5"/>
        <v>43518.100793812824</v>
      </c>
      <c r="Q12" s="29">
        <f t="shared" si="5"/>
        <v>44388.462809689081</v>
      </c>
      <c r="R12" s="29">
        <f t="shared" si="5"/>
        <v>45276.232065882861</v>
      </c>
      <c r="S12" s="29">
        <f t="shared" si="5"/>
        <v>46181.756707200526</v>
      </c>
      <c r="T12" s="29">
        <f t="shared" si="5"/>
        <v>47105.391841344521</v>
      </c>
      <c r="U12" s="29">
        <f t="shared" si="5"/>
        <v>48047.499678171422</v>
      </c>
      <c r="V12" s="29">
        <f t="shared" si="5"/>
        <v>49008.449671734852</v>
      </c>
      <c r="W12" s="29">
        <f t="shared" si="5"/>
        <v>49988.618665169546</v>
      </c>
      <c r="X12" s="29">
        <f t="shared" si="5"/>
        <v>50988.391038472932</v>
      </c>
      <c r="Y12" s="29">
        <f t="shared" si="5"/>
        <v>52008.158859242401</v>
      </c>
      <c r="Z12" s="29">
        <f t="shared" si="5"/>
        <v>53048.322036427242</v>
      </c>
      <c r="AA12" s="29">
        <f t="shared" si="5"/>
        <v>54109.288477155787</v>
      </c>
      <c r="AB12" s="29">
        <f t="shared" si="5"/>
        <v>55191.474246698897</v>
      </c>
      <c r="AC12" s="29">
        <f t="shared" si="5"/>
        <v>56295.303731632877</v>
      </c>
      <c r="AD12" s="29">
        <f t="shared" si="5"/>
        <v>57421.209806265535</v>
      </c>
      <c r="AE12" s="29">
        <f t="shared" si="5"/>
        <v>58569.634002390849</v>
      </c>
      <c r="AF12" s="29">
        <f t="shared" si="5"/>
        <v>59741.026682438656</v>
      </c>
      <c r="AG12" s="29">
        <f t="shared" si="5"/>
        <v>60935.847216087444</v>
      </c>
      <c r="AH12" s="29">
        <f t="shared" si="5"/>
        <v>62154.56416040918</v>
      </c>
      <c r="AI12" s="29">
        <f t="shared" si="5"/>
        <v>63397.655443617368</v>
      </c>
      <c r="AJ12" s="40"/>
      <c r="AK12" s="36"/>
      <c r="AL12" s="18"/>
    </row>
    <row r="13" spans="1:49" ht="12.75" customHeight="1" x14ac:dyDescent="0.25">
      <c r="A13" s="1"/>
      <c r="B13" s="55" t="s">
        <v>18</v>
      </c>
      <c r="C13" s="56">
        <f>C9*1.86/1000</f>
        <v>18.600000000000001</v>
      </c>
      <c r="D13" s="57" t="s">
        <v>19</v>
      </c>
      <c r="E13" s="44"/>
      <c r="F13" s="44">
        <f>$C$13*F43</f>
        <v>1222.4664000000002</v>
      </c>
      <c r="G13" s="44">
        <f t="shared" ref="G13:AI13" si="6">$C$13*G43</f>
        <v>1496.3886</v>
      </c>
      <c r="H13" s="44">
        <f t="shared" si="6"/>
        <v>1770.3108</v>
      </c>
      <c r="I13" s="44">
        <f t="shared" si="6"/>
        <v>2044.2330000000002</v>
      </c>
      <c r="J13" s="44">
        <f t="shared" si="6"/>
        <v>2318.1552000000001</v>
      </c>
      <c r="K13" s="44">
        <f t="shared" si="6"/>
        <v>2592.0774000000006</v>
      </c>
      <c r="L13" s="44">
        <f t="shared" si="6"/>
        <v>2865.9996000000006</v>
      </c>
      <c r="M13" s="44">
        <f t="shared" si="6"/>
        <v>3139.9218000000005</v>
      </c>
      <c r="N13" s="44">
        <f t="shared" si="6"/>
        <v>3413.8440000000005</v>
      </c>
      <c r="O13" s="44">
        <f t="shared" si="6"/>
        <v>3687.7662000000009</v>
      </c>
      <c r="P13" s="44">
        <f t="shared" si="6"/>
        <v>3961.6884000000005</v>
      </c>
      <c r="Q13" s="44">
        <f t="shared" si="6"/>
        <v>4235.6106</v>
      </c>
      <c r="R13" s="44">
        <f t="shared" si="6"/>
        <v>4509.5328000000009</v>
      </c>
      <c r="S13" s="44">
        <f t="shared" si="6"/>
        <v>4783.4550000000008</v>
      </c>
      <c r="T13" s="44">
        <f t="shared" si="6"/>
        <v>5057.3771999999999</v>
      </c>
      <c r="U13" s="44">
        <f t="shared" si="6"/>
        <v>5331.2994000000008</v>
      </c>
      <c r="V13" s="44">
        <f t="shared" si="6"/>
        <v>5605.2216000000008</v>
      </c>
      <c r="W13" s="44">
        <f t="shared" si="6"/>
        <v>5879.1437999999998</v>
      </c>
      <c r="X13" s="44">
        <f t="shared" si="6"/>
        <v>6153.0660000000007</v>
      </c>
      <c r="Y13" s="44">
        <f t="shared" si="6"/>
        <v>6426.9881999999998</v>
      </c>
      <c r="Z13" s="44">
        <f t="shared" si="6"/>
        <v>6700.9104000000007</v>
      </c>
      <c r="AA13" s="44">
        <f t="shared" si="6"/>
        <v>6974.8326000000006</v>
      </c>
      <c r="AB13" s="44">
        <f t="shared" si="6"/>
        <v>7248.7547999999997</v>
      </c>
      <c r="AC13" s="44">
        <f t="shared" si="6"/>
        <v>7522.6770000000006</v>
      </c>
      <c r="AD13" s="44">
        <f t="shared" si="6"/>
        <v>7796.5991999999997</v>
      </c>
      <c r="AE13" s="44">
        <f t="shared" si="6"/>
        <v>8070.5214000000005</v>
      </c>
      <c r="AF13" s="44">
        <f t="shared" si="6"/>
        <v>8344.4436000000005</v>
      </c>
      <c r="AG13" s="44">
        <f t="shared" si="6"/>
        <v>8618.3658000000014</v>
      </c>
      <c r="AH13" s="44">
        <f t="shared" si="6"/>
        <v>8892.2880000000005</v>
      </c>
      <c r="AI13" s="44">
        <f t="shared" si="6"/>
        <v>9166.2102000000014</v>
      </c>
      <c r="AJ13" s="45"/>
      <c r="AK13" s="36"/>
      <c r="AL13" s="23"/>
      <c r="AM13" s="3"/>
      <c r="AN13" s="3"/>
      <c r="AO13" s="3"/>
    </row>
    <row r="14" spans="1:49" ht="12.75" customHeight="1" x14ac:dyDescent="0.25">
      <c r="A14" s="1"/>
      <c r="B14" s="46" t="s">
        <v>20</v>
      </c>
      <c r="C14" s="58"/>
      <c r="D14" s="46"/>
      <c r="E14" s="48">
        <f t="shared" ref="E14:AI14" si="7">SUM(E12:E13)</f>
        <v>35000</v>
      </c>
      <c r="F14" s="48">
        <f t="shared" si="7"/>
        <v>36922.466399999998</v>
      </c>
      <c r="G14" s="48">
        <f t="shared" si="7"/>
        <v>37910.388599999998</v>
      </c>
      <c r="H14" s="48">
        <f t="shared" si="7"/>
        <v>38912.590799999998</v>
      </c>
      <c r="I14" s="48">
        <f t="shared" si="7"/>
        <v>39929.3586</v>
      </c>
      <c r="J14" s="48">
        <f t="shared" si="7"/>
        <v>40960.983312000004</v>
      </c>
      <c r="K14" s="48">
        <f t="shared" si="7"/>
        <v>42007.762074240003</v>
      </c>
      <c r="L14" s="48">
        <f t="shared" si="7"/>
        <v>43069.997967724797</v>
      </c>
      <c r="M14" s="48">
        <f t="shared" si="7"/>
        <v>44148.000135079295</v>
      </c>
      <c r="N14" s="48">
        <f t="shared" si="7"/>
        <v>45242.083901780876</v>
      </c>
      <c r="O14" s="48">
        <f t="shared" si="7"/>
        <v>46352.570899816499</v>
      </c>
      <c r="P14" s="48">
        <f t="shared" si="7"/>
        <v>47479.789193812823</v>
      </c>
      <c r="Q14" s="48">
        <f t="shared" si="7"/>
        <v>48624.073409689081</v>
      </c>
      <c r="R14" s="48">
        <f t="shared" si="7"/>
        <v>49785.764865882862</v>
      </c>
      <c r="S14" s="48">
        <f t="shared" si="7"/>
        <v>50965.211707200528</v>
      </c>
      <c r="T14" s="48">
        <f t="shared" si="7"/>
        <v>52162.769041344523</v>
      </c>
      <c r="U14" s="48">
        <f t="shared" si="7"/>
        <v>53378.799078171425</v>
      </c>
      <c r="V14" s="48">
        <f t="shared" si="7"/>
        <v>54613.671271734856</v>
      </c>
      <c r="W14" s="48">
        <f t="shared" si="7"/>
        <v>55867.762465169544</v>
      </c>
      <c r="X14" s="48">
        <f t="shared" si="7"/>
        <v>57141.45703847293</v>
      </c>
      <c r="Y14" s="48">
        <f t="shared" si="7"/>
        <v>58435.147059242401</v>
      </c>
      <c r="Z14" s="48">
        <f t="shared" si="7"/>
        <v>59749.232436427243</v>
      </c>
      <c r="AA14" s="48">
        <f t="shared" si="7"/>
        <v>61084.121077155789</v>
      </c>
      <c r="AB14" s="48">
        <f t="shared" si="7"/>
        <v>62440.2290466989</v>
      </c>
      <c r="AC14" s="48">
        <f t="shared" si="7"/>
        <v>63817.980731632881</v>
      </c>
      <c r="AD14" s="48">
        <f t="shared" si="7"/>
        <v>65217.809006265532</v>
      </c>
      <c r="AE14" s="48">
        <f t="shared" si="7"/>
        <v>66640.155402390854</v>
      </c>
      <c r="AF14" s="48">
        <f t="shared" si="7"/>
        <v>68085.470282438662</v>
      </c>
      <c r="AG14" s="48">
        <f t="shared" si="7"/>
        <v>69554.213016087451</v>
      </c>
      <c r="AH14" s="48">
        <f t="shared" si="7"/>
        <v>71046.85216040918</v>
      </c>
      <c r="AI14" s="48">
        <f t="shared" si="7"/>
        <v>72563.865643617377</v>
      </c>
      <c r="AJ14" s="49">
        <f t="array" ref="AJ14">NPV(discrate,F14:AI14)</f>
        <v>995937.64331825194</v>
      </c>
      <c r="AK14" s="49">
        <f>'Detailed Results'!D34</f>
        <v>995937.64331825194</v>
      </c>
      <c r="AL14" s="18"/>
    </row>
    <row r="15" spans="1:49" ht="12.75" customHeight="1" x14ac:dyDescent="0.25">
      <c r="A15" s="1"/>
      <c r="B15" s="126" t="s">
        <v>21</v>
      </c>
      <c r="C15" s="127"/>
      <c r="D15" s="24"/>
      <c r="E15" s="59">
        <f>E6</f>
        <v>3400000</v>
      </c>
      <c r="F15" s="59">
        <f t="shared" ref="F15:AI15" si="8">F10+F14</f>
        <v>51191.2664</v>
      </c>
      <c r="G15" s="59">
        <f t="shared" si="8"/>
        <v>52749.940600000002</v>
      </c>
      <c r="H15" s="59">
        <f t="shared" si="8"/>
        <v>54345.724880000002</v>
      </c>
      <c r="I15" s="59">
        <f t="shared" si="8"/>
        <v>55979.818043200001</v>
      </c>
      <c r="J15" s="59">
        <f t="shared" si="8"/>
        <v>57653.461132928009</v>
      </c>
      <c r="K15" s="59">
        <f t="shared" si="8"/>
        <v>59367.939008005131</v>
      </c>
      <c r="L15" s="59">
        <f t="shared" si="8"/>
        <v>61124.581978840528</v>
      </c>
      <c r="M15" s="59">
        <f t="shared" si="8"/>
        <v>62924.767506639655</v>
      </c>
      <c r="N15" s="59">
        <f t="shared" si="8"/>
        <v>64769.921968203649</v>
      </c>
      <c r="O15" s="59">
        <f t="shared" si="8"/>
        <v>66661.522488896182</v>
      </c>
      <c r="P15" s="59">
        <f t="shared" si="8"/>
        <v>68601.098846455701</v>
      </c>
      <c r="Q15" s="59">
        <f t="shared" si="8"/>
        <v>70590.23544843767</v>
      </c>
      <c r="R15" s="59">
        <f t="shared" si="8"/>
        <v>72630.573386181408</v>
      </c>
      <c r="S15" s="59">
        <f t="shared" si="8"/>
        <v>74723.812568311012</v>
      </c>
      <c r="T15" s="59">
        <f t="shared" si="8"/>
        <v>76871.713936899425</v>
      </c>
      <c r="U15" s="59">
        <f t="shared" si="8"/>
        <v>79076.101769548521</v>
      </c>
      <c r="V15" s="59">
        <f t="shared" si="8"/>
        <v>81338.866070767035</v>
      </c>
      <c r="W15" s="59">
        <f t="shared" si="8"/>
        <v>83661.965056163026</v>
      </c>
      <c r="X15" s="59">
        <f t="shared" si="8"/>
        <v>86047.427733106146</v>
      </c>
      <c r="Y15" s="59">
        <f t="shared" si="8"/>
        <v>88497.356581660948</v>
      </c>
      <c r="Z15" s="59">
        <f t="shared" si="8"/>
        <v>91013.930339742539</v>
      </c>
      <c r="AA15" s="59">
        <f t="shared" si="8"/>
        <v>93599.406896603687</v>
      </c>
      <c r="AB15" s="59">
        <f t="shared" si="8"/>
        <v>96256.126298924704</v>
      </c>
      <c r="AC15" s="59">
        <f t="shared" si="8"/>
        <v>98986.513873947726</v>
      </c>
      <c r="AD15" s="59">
        <f t="shared" si="8"/>
        <v>101793.08347427298</v>
      </c>
      <c r="AE15" s="59">
        <f t="shared" si="8"/>
        <v>104678.4408491186</v>
      </c>
      <c r="AF15" s="59">
        <f t="shared" si="8"/>
        <v>107645.28714703552</v>
      </c>
      <c r="AG15" s="59">
        <f t="shared" si="8"/>
        <v>110696.42255526819</v>
      </c>
      <c r="AH15" s="59">
        <f t="shared" si="8"/>
        <v>113834.75008115715</v>
      </c>
      <c r="AI15" s="59">
        <f t="shared" si="8"/>
        <v>117063.27948119526</v>
      </c>
      <c r="AJ15" s="60">
        <f>NPV(discrate,F15:AI15)+E15</f>
        <v>4875707.2512775548</v>
      </c>
      <c r="AK15" s="60">
        <f>'Detailed Results'!E34</f>
        <v>4875707.2512775548</v>
      </c>
      <c r="AL15" s="18"/>
    </row>
    <row r="16" spans="1:49" ht="12.75" customHeight="1" x14ac:dyDescent="0.25">
      <c r="A16" s="1"/>
      <c r="B16" s="19"/>
      <c r="C16" s="61"/>
      <c r="D16" s="19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3"/>
      <c r="AK16" s="36"/>
      <c r="AL16" s="18"/>
    </row>
    <row r="17" spans="1:49" ht="12.75" customHeight="1" x14ac:dyDescent="0.25">
      <c r="B17" s="24" t="s">
        <v>22</v>
      </c>
      <c r="C17" s="25" t="s">
        <v>5</v>
      </c>
      <c r="D17" s="25"/>
      <c r="E17" s="64">
        <v>0</v>
      </c>
      <c r="F17" s="64">
        <v>1</v>
      </c>
      <c r="G17" s="64">
        <v>2</v>
      </c>
      <c r="H17" s="64">
        <v>3</v>
      </c>
      <c r="I17" s="64">
        <v>4</v>
      </c>
      <c r="J17" s="64">
        <v>5</v>
      </c>
      <c r="K17" s="64">
        <v>6</v>
      </c>
      <c r="L17" s="64">
        <v>7</v>
      </c>
      <c r="M17" s="64">
        <v>8</v>
      </c>
      <c r="N17" s="64">
        <v>9</v>
      </c>
      <c r="O17" s="64">
        <v>10</v>
      </c>
      <c r="P17" s="64">
        <v>11</v>
      </c>
      <c r="Q17" s="64">
        <v>12</v>
      </c>
      <c r="R17" s="64">
        <v>13</v>
      </c>
      <c r="S17" s="64">
        <v>14</v>
      </c>
      <c r="T17" s="64">
        <v>15</v>
      </c>
      <c r="U17" s="64">
        <v>16</v>
      </c>
      <c r="V17" s="64">
        <v>17</v>
      </c>
      <c r="W17" s="64">
        <v>18</v>
      </c>
      <c r="X17" s="64">
        <v>19</v>
      </c>
      <c r="Y17" s="64">
        <v>20</v>
      </c>
      <c r="Z17" s="64">
        <v>21</v>
      </c>
      <c r="AA17" s="64">
        <v>22</v>
      </c>
      <c r="AB17" s="64">
        <v>23</v>
      </c>
      <c r="AC17" s="64">
        <v>24</v>
      </c>
      <c r="AD17" s="64">
        <v>25</v>
      </c>
      <c r="AE17" s="64">
        <v>26</v>
      </c>
      <c r="AF17" s="64">
        <v>27</v>
      </c>
      <c r="AG17" s="64">
        <v>28</v>
      </c>
      <c r="AH17" s="64">
        <v>29</v>
      </c>
      <c r="AI17" s="64">
        <v>30</v>
      </c>
      <c r="AJ17" s="25" t="s">
        <v>6</v>
      </c>
      <c r="AK17" s="65"/>
      <c r="AL17" s="18"/>
    </row>
    <row r="18" spans="1:49" ht="12.75" customHeight="1" x14ac:dyDescent="0.25">
      <c r="A18" s="1"/>
      <c r="B18" s="66" t="s">
        <v>23</v>
      </c>
      <c r="C18" s="27">
        <v>4150000</v>
      </c>
      <c r="D18" s="28"/>
      <c r="E18" s="29">
        <f t="shared" ref="E18:AI18" si="9">IF($D18=E$5,$C18,0)</f>
        <v>4150000</v>
      </c>
      <c r="F18" s="29">
        <f t="shared" si="9"/>
        <v>0</v>
      </c>
      <c r="G18" s="29">
        <f t="shared" si="9"/>
        <v>0</v>
      </c>
      <c r="H18" s="29">
        <f t="shared" si="9"/>
        <v>0</v>
      </c>
      <c r="I18" s="29">
        <f t="shared" si="9"/>
        <v>0</v>
      </c>
      <c r="J18" s="29">
        <f t="shared" si="9"/>
        <v>0</v>
      </c>
      <c r="K18" s="29">
        <f t="shared" si="9"/>
        <v>0</v>
      </c>
      <c r="L18" s="29">
        <f t="shared" si="9"/>
        <v>0</v>
      </c>
      <c r="M18" s="29">
        <f t="shared" si="9"/>
        <v>0</v>
      </c>
      <c r="N18" s="29">
        <f t="shared" si="9"/>
        <v>0</v>
      </c>
      <c r="O18" s="29">
        <f t="shared" si="9"/>
        <v>0</v>
      </c>
      <c r="P18" s="29">
        <f t="shared" si="9"/>
        <v>0</v>
      </c>
      <c r="Q18" s="29">
        <f t="shared" si="9"/>
        <v>0</v>
      </c>
      <c r="R18" s="29">
        <f t="shared" si="9"/>
        <v>0</v>
      </c>
      <c r="S18" s="29">
        <f t="shared" si="9"/>
        <v>0</v>
      </c>
      <c r="T18" s="29">
        <f t="shared" si="9"/>
        <v>0</v>
      </c>
      <c r="U18" s="29">
        <f t="shared" si="9"/>
        <v>0</v>
      </c>
      <c r="V18" s="29">
        <f t="shared" si="9"/>
        <v>0</v>
      </c>
      <c r="W18" s="29">
        <f t="shared" si="9"/>
        <v>0</v>
      </c>
      <c r="X18" s="29">
        <f t="shared" si="9"/>
        <v>0</v>
      </c>
      <c r="Y18" s="29">
        <f t="shared" si="9"/>
        <v>0</v>
      </c>
      <c r="Z18" s="29">
        <f t="shared" si="9"/>
        <v>0</v>
      </c>
      <c r="AA18" s="29">
        <f t="shared" si="9"/>
        <v>0</v>
      </c>
      <c r="AB18" s="29">
        <f t="shared" si="9"/>
        <v>0</v>
      </c>
      <c r="AC18" s="29">
        <f t="shared" si="9"/>
        <v>0</v>
      </c>
      <c r="AD18" s="29">
        <f t="shared" si="9"/>
        <v>0</v>
      </c>
      <c r="AE18" s="29">
        <f t="shared" si="9"/>
        <v>0</v>
      </c>
      <c r="AF18" s="29">
        <f t="shared" si="9"/>
        <v>0</v>
      </c>
      <c r="AG18" s="29">
        <f t="shared" si="9"/>
        <v>0</v>
      </c>
      <c r="AH18" s="29">
        <f t="shared" si="9"/>
        <v>0</v>
      </c>
      <c r="AI18" s="29">
        <f t="shared" si="9"/>
        <v>0</v>
      </c>
      <c r="AJ18" s="30">
        <f>E18</f>
        <v>4150000</v>
      </c>
      <c r="AK18" s="36"/>
      <c r="AL18" s="18"/>
    </row>
    <row r="19" spans="1:49" ht="12.75" customHeight="1" x14ac:dyDescent="0.25">
      <c r="A19" s="1"/>
      <c r="B19" s="32" t="s">
        <v>8</v>
      </c>
      <c r="C19" s="33" t="s">
        <v>9</v>
      </c>
      <c r="D19" s="33" t="s">
        <v>10</v>
      </c>
      <c r="E19" s="33" t="s">
        <v>11</v>
      </c>
      <c r="F19" s="34">
        <v>1</v>
      </c>
      <c r="G19" s="34">
        <v>2</v>
      </c>
      <c r="H19" s="34">
        <v>3</v>
      </c>
      <c r="I19" s="34">
        <v>4</v>
      </c>
      <c r="J19" s="34">
        <v>5</v>
      </c>
      <c r="K19" s="34">
        <v>6</v>
      </c>
      <c r="L19" s="34">
        <v>7</v>
      </c>
      <c r="M19" s="34">
        <v>8</v>
      </c>
      <c r="N19" s="34">
        <v>9</v>
      </c>
      <c r="O19" s="34">
        <v>10</v>
      </c>
      <c r="P19" s="34">
        <v>11</v>
      </c>
      <c r="Q19" s="34">
        <v>12</v>
      </c>
      <c r="R19" s="34">
        <v>13</v>
      </c>
      <c r="S19" s="34">
        <v>14</v>
      </c>
      <c r="T19" s="34">
        <v>15</v>
      </c>
      <c r="U19" s="34">
        <v>16</v>
      </c>
      <c r="V19" s="34">
        <v>17</v>
      </c>
      <c r="W19" s="34">
        <v>18</v>
      </c>
      <c r="X19" s="34">
        <v>19</v>
      </c>
      <c r="Y19" s="34">
        <v>20</v>
      </c>
      <c r="Z19" s="34">
        <v>21</v>
      </c>
      <c r="AA19" s="34">
        <v>22</v>
      </c>
      <c r="AB19" s="34">
        <v>23</v>
      </c>
      <c r="AC19" s="34">
        <v>24</v>
      </c>
      <c r="AD19" s="34">
        <v>25</v>
      </c>
      <c r="AE19" s="34">
        <v>26</v>
      </c>
      <c r="AF19" s="34">
        <v>27</v>
      </c>
      <c r="AG19" s="34">
        <v>28</v>
      </c>
      <c r="AH19" s="34">
        <v>29</v>
      </c>
      <c r="AI19" s="34">
        <v>30</v>
      </c>
      <c r="AJ19" s="35"/>
      <c r="AK19" s="36"/>
      <c r="AL19" s="2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</row>
    <row r="20" spans="1:49" ht="12.75" customHeight="1" x14ac:dyDescent="0.25">
      <c r="A20" s="1"/>
      <c r="B20" s="37" t="s">
        <v>12</v>
      </c>
      <c r="C20" s="38">
        <v>85000</v>
      </c>
      <c r="D20" s="39">
        <v>0</v>
      </c>
      <c r="E20" s="29">
        <f>C20*D20</f>
        <v>0</v>
      </c>
      <c r="F20" s="29">
        <f t="shared" ref="F20:O21" si="10">$E20*(1+eirate)^F$7</f>
        <v>0</v>
      </c>
      <c r="G20" s="29">
        <f t="shared" si="10"/>
        <v>0</v>
      </c>
      <c r="H20" s="29">
        <f t="shared" si="10"/>
        <v>0</v>
      </c>
      <c r="I20" s="29">
        <f t="shared" si="10"/>
        <v>0</v>
      </c>
      <c r="J20" s="29">
        <f t="shared" si="10"/>
        <v>0</v>
      </c>
      <c r="K20" s="29">
        <f t="shared" si="10"/>
        <v>0</v>
      </c>
      <c r="L20" s="29">
        <f t="shared" si="10"/>
        <v>0</v>
      </c>
      <c r="M20" s="29">
        <f t="shared" si="10"/>
        <v>0</v>
      </c>
      <c r="N20" s="29">
        <f t="shared" si="10"/>
        <v>0</v>
      </c>
      <c r="O20" s="29">
        <f t="shared" si="10"/>
        <v>0</v>
      </c>
      <c r="P20" s="29">
        <f t="shared" ref="P20:Y21" si="11">$E20*(1+eirate)^P$7</f>
        <v>0</v>
      </c>
      <c r="Q20" s="29">
        <f t="shared" si="11"/>
        <v>0</v>
      </c>
      <c r="R20" s="29">
        <f t="shared" si="11"/>
        <v>0</v>
      </c>
      <c r="S20" s="29">
        <f t="shared" si="11"/>
        <v>0</v>
      </c>
      <c r="T20" s="29">
        <f t="shared" si="11"/>
        <v>0</v>
      </c>
      <c r="U20" s="29">
        <f t="shared" si="11"/>
        <v>0</v>
      </c>
      <c r="V20" s="29">
        <f t="shared" si="11"/>
        <v>0</v>
      </c>
      <c r="W20" s="29">
        <f t="shared" si="11"/>
        <v>0</v>
      </c>
      <c r="X20" s="29">
        <f t="shared" si="11"/>
        <v>0</v>
      </c>
      <c r="Y20" s="29">
        <f t="shared" si="11"/>
        <v>0</v>
      </c>
      <c r="Z20" s="29">
        <f t="shared" ref="Z20:AI21" si="12">$E20*(1+eirate)^Z$7</f>
        <v>0</v>
      </c>
      <c r="AA20" s="29">
        <f t="shared" si="12"/>
        <v>0</v>
      </c>
      <c r="AB20" s="29">
        <f t="shared" si="12"/>
        <v>0</v>
      </c>
      <c r="AC20" s="29">
        <f t="shared" si="12"/>
        <v>0</v>
      </c>
      <c r="AD20" s="29">
        <f t="shared" si="12"/>
        <v>0</v>
      </c>
      <c r="AE20" s="29">
        <f t="shared" si="12"/>
        <v>0</v>
      </c>
      <c r="AF20" s="29">
        <f t="shared" si="12"/>
        <v>0</v>
      </c>
      <c r="AG20" s="29">
        <f t="shared" si="12"/>
        <v>0</v>
      </c>
      <c r="AH20" s="29">
        <f t="shared" si="12"/>
        <v>0</v>
      </c>
      <c r="AI20" s="29">
        <f t="shared" si="12"/>
        <v>0</v>
      </c>
      <c r="AJ20" s="40"/>
      <c r="AK20" s="36"/>
      <c r="AL20" s="18"/>
    </row>
    <row r="21" spans="1:49" ht="12.75" customHeight="1" x14ac:dyDescent="0.25">
      <c r="A21" s="1"/>
      <c r="B21" s="41" t="s">
        <v>13</v>
      </c>
      <c r="C21" s="42">
        <v>0</v>
      </c>
      <c r="D21" s="43">
        <v>0</v>
      </c>
      <c r="E21" s="44">
        <f>D21*C21</f>
        <v>0</v>
      </c>
      <c r="F21" s="44">
        <f t="shared" si="10"/>
        <v>0</v>
      </c>
      <c r="G21" s="44">
        <f t="shared" si="10"/>
        <v>0</v>
      </c>
      <c r="H21" s="44">
        <f t="shared" si="10"/>
        <v>0</v>
      </c>
      <c r="I21" s="44">
        <f t="shared" si="10"/>
        <v>0</v>
      </c>
      <c r="J21" s="44">
        <f t="shared" si="10"/>
        <v>0</v>
      </c>
      <c r="K21" s="44">
        <f t="shared" si="10"/>
        <v>0</v>
      </c>
      <c r="L21" s="44">
        <f t="shared" si="10"/>
        <v>0</v>
      </c>
      <c r="M21" s="44">
        <f t="shared" si="10"/>
        <v>0</v>
      </c>
      <c r="N21" s="44">
        <f t="shared" si="10"/>
        <v>0</v>
      </c>
      <c r="O21" s="44">
        <f t="shared" si="10"/>
        <v>0</v>
      </c>
      <c r="P21" s="44">
        <f t="shared" si="11"/>
        <v>0</v>
      </c>
      <c r="Q21" s="44">
        <f t="shared" si="11"/>
        <v>0</v>
      </c>
      <c r="R21" s="44">
        <f t="shared" si="11"/>
        <v>0</v>
      </c>
      <c r="S21" s="44">
        <f t="shared" si="11"/>
        <v>0</v>
      </c>
      <c r="T21" s="44">
        <f t="shared" si="11"/>
        <v>0</v>
      </c>
      <c r="U21" s="44">
        <f t="shared" si="11"/>
        <v>0</v>
      </c>
      <c r="V21" s="44">
        <f t="shared" si="11"/>
        <v>0</v>
      </c>
      <c r="W21" s="44">
        <f t="shared" si="11"/>
        <v>0</v>
      </c>
      <c r="X21" s="44">
        <f t="shared" si="11"/>
        <v>0</v>
      </c>
      <c r="Y21" s="44">
        <f t="shared" si="11"/>
        <v>0</v>
      </c>
      <c r="Z21" s="44">
        <f t="shared" si="12"/>
        <v>0</v>
      </c>
      <c r="AA21" s="44">
        <f t="shared" si="12"/>
        <v>0</v>
      </c>
      <c r="AB21" s="44">
        <f t="shared" si="12"/>
        <v>0</v>
      </c>
      <c r="AC21" s="44">
        <f t="shared" si="12"/>
        <v>0</v>
      </c>
      <c r="AD21" s="44">
        <f t="shared" si="12"/>
        <v>0</v>
      </c>
      <c r="AE21" s="44">
        <f t="shared" si="12"/>
        <v>0</v>
      </c>
      <c r="AF21" s="44">
        <f t="shared" si="12"/>
        <v>0</v>
      </c>
      <c r="AG21" s="44">
        <f t="shared" si="12"/>
        <v>0</v>
      </c>
      <c r="AH21" s="44">
        <f t="shared" si="12"/>
        <v>0</v>
      </c>
      <c r="AI21" s="44">
        <f t="shared" si="12"/>
        <v>0</v>
      </c>
      <c r="AJ21" s="45"/>
      <c r="AK21" s="36"/>
      <c r="AL21" s="18"/>
    </row>
    <row r="22" spans="1:49" ht="12.75" customHeight="1" x14ac:dyDescent="0.25">
      <c r="A22" s="1"/>
      <c r="B22" s="67" t="s">
        <v>14</v>
      </c>
      <c r="C22" s="68"/>
      <c r="D22" s="67"/>
      <c r="E22" s="48">
        <f t="shared" ref="E22:AI22" si="13">SUM(E20:E21)</f>
        <v>0</v>
      </c>
      <c r="F22" s="48">
        <f t="shared" si="13"/>
        <v>0</v>
      </c>
      <c r="G22" s="48">
        <f t="shared" si="13"/>
        <v>0</v>
      </c>
      <c r="H22" s="48">
        <f t="shared" si="13"/>
        <v>0</v>
      </c>
      <c r="I22" s="48">
        <f t="shared" si="13"/>
        <v>0</v>
      </c>
      <c r="J22" s="48">
        <f t="shared" si="13"/>
        <v>0</v>
      </c>
      <c r="K22" s="48">
        <f t="shared" si="13"/>
        <v>0</v>
      </c>
      <c r="L22" s="48">
        <f t="shared" si="13"/>
        <v>0</v>
      </c>
      <c r="M22" s="48">
        <f t="shared" si="13"/>
        <v>0</v>
      </c>
      <c r="N22" s="48">
        <f t="shared" si="13"/>
        <v>0</v>
      </c>
      <c r="O22" s="48">
        <f t="shared" si="13"/>
        <v>0</v>
      </c>
      <c r="P22" s="48">
        <f t="shared" si="13"/>
        <v>0</v>
      </c>
      <c r="Q22" s="48">
        <f t="shared" si="13"/>
        <v>0</v>
      </c>
      <c r="R22" s="48">
        <f t="shared" si="13"/>
        <v>0</v>
      </c>
      <c r="S22" s="48">
        <f t="shared" si="13"/>
        <v>0</v>
      </c>
      <c r="T22" s="48">
        <f t="shared" si="13"/>
        <v>0</v>
      </c>
      <c r="U22" s="48">
        <f t="shared" si="13"/>
        <v>0</v>
      </c>
      <c r="V22" s="48">
        <f t="shared" si="13"/>
        <v>0</v>
      </c>
      <c r="W22" s="48">
        <f t="shared" si="13"/>
        <v>0</v>
      </c>
      <c r="X22" s="48">
        <f t="shared" si="13"/>
        <v>0</v>
      </c>
      <c r="Y22" s="48">
        <f t="shared" si="13"/>
        <v>0</v>
      </c>
      <c r="Z22" s="48">
        <f t="shared" si="13"/>
        <v>0</v>
      </c>
      <c r="AA22" s="48">
        <f t="shared" si="13"/>
        <v>0</v>
      </c>
      <c r="AB22" s="48">
        <f t="shared" si="13"/>
        <v>0</v>
      </c>
      <c r="AC22" s="48">
        <f t="shared" si="13"/>
        <v>0</v>
      </c>
      <c r="AD22" s="48">
        <f t="shared" si="13"/>
        <v>0</v>
      </c>
      <c r="AE22" s="48">
        <f t="shared" si="13"/>
        <v>0</v>
      </c>
      <c r="AF22" s="48">
        <f t="shared" si="13"/>
        <v>0</v>
      </c>
      <c r="AG22" s="48">
        <f t="shared" si="13"/>
        <v>0</v>
      </c>
      <c r="AH22" s="48">
        <f t="shared" si="13"/>
        <v>0</v>
      </c>
      <c r="AI22" s="48">
        <f t="shared" si="13"/>
        <v>0</v>
      </c>
      <c r="AJ22" s="49">
        <f t="array" ref="AJ22">NPV(discrate,F22:AI22)</f>
        <v>0</v>
      </c>
      <c r="AK22" s="49">
        <f>'Detailed Results'!G34</f>
        <v>0</v>
      </c>
      <c r="AL22" s="18"/>
    </row>
    <row r="23" spans="1:49" ht="12.75" customHeight="1" x14ac:dyDescent="0.25">
      <c r="A23" s="1"/>
      <c r="B23" s="32" t="s">
        <v>15</v>
      </c>
      <c r="C23" s="33" t="s">
        <v>5</v>
      </c>
      <c r="D23" s="33" t="s">
        <v>16</v>
      </c>
      <c r="E23" s="33">
        <v>0</v>
      </c>
      <c r="F23" s="51">
        <v>1</v>
      </c>
      <c r="G23" s="51">
        <v>2</v>
      </c>
      <c r="H23" s="51">
        <v>3</v>
      </c>
      <c r="I23" s="51">
        <v>4</v>
      </c>
      <c r="J23" s="51">
        <v>5</v>
      </c>
      <c r="K23" s="51">
        <v>6</v>
      </c>
      <c r="L23" s="51">
        <v>7</v>
      </c>
      <c r="M23" s="51">
        <v>8</v>
      </c>
      <c r="N23" s="51">
        <v>9</v>
      </c>
      <c r="O23" s="51">
        <v>10</v>
      </c>
      <c r="P23" s="51">
        <v>11</v>
      </c>
      <c r="Q23" s="51">
        <v>12</v>
      </c>
      <c r="R23" s="51">
        <v>13</v>
      </c>
      <c r="S23" s="51">
        <v>14</v>
      </c>
      <c r="T23" s="51">
        <v>15</v>
      </c>
      <c r="U23" s="51">
        <v>16</v>
      </c>
      <c r="V23" s="51">
        <v>17</v>
      </c>
      <c r="W23" s="51">
        <v>18</v>
      </c>
      <c r="X23" s="51">
        <v>19</v>
      </c>
      <c r="Y23" s="51">
        <v>20</v>
      </c>
      <c r="Z23" s="51">
        <v>21</v>
      </c>
      <c r="AA23" s="51">
        <v>22</v>
      </c>
      <c r="AB23" s="51">
        <v>23</v>
      </c>
      <c r="AC23" s="51">
        <v>24</v>
      </c>
      <c r="AD23" s="51">
        <v>25</v>
      </c>
      <c r="AE23" s="51">
        <v>26</v>
      </c>
      <c r="AF23" s="51">
        <v>27</v>
      </c>
      <c r="AG23" s="51">
        <v>28</v>
      </c>
      <c r="AH23" s="51">
        <v>29</v>
      </c>
      <c r="AI23" s="51">
        <v>30</v>
      </c>
      <c r="AJ23" s="35"/>
      <c r="AK23" s="36"/>
      <c r="AL23" s="18"/>
    </row>
    <row r="24" spans="1:49" ht="12.75" customHeight="1" x14ac:dyDescent="0.25">
      <c r="A24" s="1"/>
      <c r="B24" s="37" t="s">
        <v>17</v>
      </c>
      <c r="C24" s="27">
        <v>70000</v>
      </c>
      <c r="D24" s="69">
        <v>4</v>
      </c>
      <c r="E24" s="29">
        <f>IF($D24,IF(INT(E$11/$D24)=(E$11/$D24),$C24, ),0)</f>
        <v>70000</v>
      </c>
      <c r="F24" s="29">
        <f t="shared" ref="F24:AI24" si="14">IF($D24,IF(INT(F$11/$D24)=(F$11/$D24),$C24, ),0)*(1+oirate)^F$11</f>
        <v>0</v>
      </c>
      <c r="G24" s="29">
        <f t="shared" si="14"/>
        <v>0</v>
      </c>
      <c r="H24" s="29">
        <f t="shared" si="14"/>
        <v>0</v>
      </c>
      <c r="I24" s="29">
        <f t="shared" si="14"/>
        <v>75770.251199999999</v>
      </c>
      <c r="J24" s="29">
        <f t="shared" si="14"/>
        <v>0</v>
      </c>
      <c r="K24" s="29">
        <f t="shared" si="14"/>
        <v>0</v>
      </c>
      <c r="L24" s="29">
        <f t="shared" si="14"/>
        <v>0</v>
      </c>
      <c r="M24" s="29">
        <f t="shared" si="14"/>
        <v>82016.156670158583</v>
      </c>
      <c r="N24" s="29">
        <f t="shared" si="14"/>
        <v>0</v>
      </c>
      <c r="O24" s="29">
        <f t="shared" si="14"/>
        <v>0</v>
      </c>
      <c r="P24" s="29">
        <f t="shared" si="14"/>
        <v>0</v>
      </c>
      <c r="Q24" s="29">
        <f t="shared" si="14"/>
        <v>88776.925619378162</v>
      </c>
      <c r="R24" s="29">
        <f t="shared" si="14"/>
        <v>0</v>
      </c>
      <c r="S24" s="29">
        <f t="shared" si="14"/>
        <v>0</v>
      </c>
      <c r="T24" s="29">
        <f t="shared" si="14"/>
        <v>0</v>
      </c>
      <c r="U24" s="29">
        <f t="shared" si="14"/>
        <v>96094.999356342843</v>
      </c>
      <c r="V24" s="29">
        <f t="shared" si="14"/>
        <v>0</v>
      </c>
      <c r="W24" s="29">
        <f t="shared" si="14"/>
        <v>0</v>
      </c>
      <c r="X24" s="29">
        <f t="shared" si="14"/>
        <v>0</v>
      </c>
      <c r="Y24" s="29">
        <f t="shared" si="14"/>
        <v>104016.3177184848</v>
      </c>
      <c r="Z24" s="29">
        <f t="shared" si="14"/>
        <v>0</v>
      </c>
      <c r="AA24" s="29">
        <f t="shared" si="14"/>
        <v>0</v>
      </c>
      <c r="AB24" s="29">
        <f t="shared" si="14"/>
        <v>0</v>
      </c>
      <c r="AC24" s="29">
        <f t="shared" si="14"/>
        <v>112590.60746326575</v>
      </c>
      <c r="AD24" s="29">
        <f t="shared" si="14"/>
        <v>0</v>
      </c>
      <c r="AE24" s="29">
        <f t="shared" si="14"/>
        <v>0</v>
      </c>
      <c r="AF24" s="29">
        <f t="shared" si="14"/>
        <v>0</v>
      </c>
      <c r="AG24" s="29">
        <f t="shared" si="14"/>
        <v>121871.69443217489</v>
      </c>
      <c r="AH24" s="29">
        <f t="shared" si="14"/>
        <v>0</v>
      </c>
      <c r="AI24" s="29">
        <f t="shared" si="14"/>
        <v>0</v>
      </c>
      <c r="AJ24" s="40"/>
      <c r="AK24" s="36"/>
      <c r="AL24" s="18"/>
    </row>
    <row r="25" spans="1:49" ht="12.75" customHeight="1" x14ac:dyDescent="0.25">
      <c r="A25" s="1"/>
      <c r="B25" s="41" t="s">
        <v>18</v>
      </c>
      <c r="C25" s="42">
        <f>C21*1.86/1000</f>
        <v>0</v>
      </c>
      <c r="D25" s="70" t="s">
        <v>19</v>
      </c>
      <c r="E25" s="44"/>
      <c r="F25" s="44">
        <f>$C$25*F43</f>
        <v>0</v>
      </c>
      <c r="G25" s="44">
        <f t="shared" ref="G25:AI25" si="15">$C$25*G43</f>
        <v>0</v>
      </c>
      <c r="H25" s="44">
        <f t="shared" si="15"/>
        <v>0</v>
      </c>
      <c r="I25" s="44">
        <f t="shared" si="15"/>
        <v>0</v>
      </c>
      <c r="J25" s="44">
        <f t="shared" si="15"/>
        <v>0</v>
      </c>
      <c r="K25" s="44">
        <f t="shared" si="15"/>
        <v>0</v>
      </c>
      <c r="L25" s="44">
        <f t="shared" si="15"/>
        <v>0</v>
      </c>
      <c r="M25" s="44">
        <f t="shared" si="15"/>
        <v>0</v>
      </c>
      <c r="N25" s="44">
        <f t="shared" si="15"/>
        <v>0</v>
      </c>
      <c r="O25" s="44">
        <f t="shared" si="15"/>
        <v>0</v>
      </c>
      <c r="P25" s="44">
        <f t="shared" si="15"/>
        <v>0</v>
      </c>
      <c r="Q25" s="44">
        <f t="shared" si="15"/>
        <v>0</v>
      </c>
      <c r="R25" s="44">
        <f t="shared" si="15"/>
        <v>0</v>
      </c>
      <c r="S25" s="44">
        <f t="shared" si="15"/>
        <v>0</v>
      </c>
      <c r="T25" s="44">
        <f t="shared" si="15"/>
        <v>0</v>
      </c>
      <c r="U25" s="44">
        <f t="shared" si="15"/>
        <v>0</v>
      </c>
      <c r="V25" s="44">
        <f t="shared" si="15"/>
        <v>0</v>
      </c>
      <c r="W25" s="44">
        <f t="shared" si="15"/>
        <v>0</v>
      </c>
      <c r="X25" s="44">
        <f t="shared" si="15"/>
        <v>0</v>
      </c>
      <c r="Y25" s="44">
        <f t="shared" si="15"/>
        <v>0</v>
      </c>
      <c r="Z25" s="44">
        <f t="shared" si="15"/>
        <v>0</v>
      </c>
      <c r="AA25" s="44">
        <f t="shared" si="15"/>
        <v>0</v>
      </c>
      <c r="AB25" s="44">
        <f t="shared" si="15"/>
        <v>0</v>
      </c>
      <c r="AC25" s="44">
        <f t="shared" si="15"/>
        <v>0</v>
      </c>
      <c r="AD25" s="44">
        <f t="shared" si="15"/>
        <v>0</v>
      </c>
      <c r="AE25" s="44">
        <f t="shared" si="15"/>
        <v>0</v>
      </c>
      <c r="AF25" s="44">
        <f t="shared" si="15"/>
        <v>0</v>
      </c>
      <c r="AG25" s="44">
        <f t="shared" si="15"/>
        <v>0</v>
      </c>
      <c r="AH25" s="44">
        <f t="shared" si="15"/>
        <v>0</v>
      </c>
      <c r="AI25" s="44">
        <f t="shared" si="15"/>
        <v>0</v>
      </c>
      <c r="AJ25" s="45"/>
      <c r="AK25" s="36"/>
      <c r="AL25" s="23"/>
      <c r="AM25" s="3"/>
      <c r="AN25" s="3"/>
      <c r="AO25" s="3"/>
    </row>
    <row r="26" spans="1:49" ht="12.75" customHeight="1" x14ac:dyDescent="0.25">
      <c r="A26" s="1"/>
      <c r="B26" s="67" t="s">
        <v>20</v>
      </c>
      <c r="C26" s="71"/>
      <c r="D26" s="67"/>
      <c r="E26" s="48">
        <f t="shared" ref="E26:AI26" si="16">SUM(E24:E25)</f>
        <v>70000</v>
      </c>
      <c r="F26" s="48">
        <f t="shared" si="16"/>
        <v>0</v>
      </c>
      <c r="G26" s="48">
        <f t="shared" si="16"/>
        <v>0</v>
      </c>
      <c r="H26" s="48">
        <f t="shared" si="16"/>
        <v>0</v>
      </c>
      <c r="I26" s="48">
        <f t="shared" si="16"/>
        <v>75770.251199999999</v>
      </c>
      <c r="J26" s="48">
        <f t="shared" si="16"/>
        <v>0</v>
      </c>
      <c r="K26" s="48">
        <f t="shared" si="16"/>
        <v>0</v>
      </c>
      <c r="L26" s="48">
        <f t="shared" si="16"/>
        <v>0</v>
      </c>
      <c r="M26" s="48">
        <f t="shared" si="16"/>
        <v>82016.156670158583</v>
      </c>
      <c r="N26" s="48">
        <f t="shared" si="16"/>
        <v>0</v>
      </c>
      <c r="O26" s="48">
        <f t="shared" si="16"/>
        <v>0</v>
      </c>
      <c r="P26" s="48">
        <f t="shared" si="16"/>
        <v>0</v>
      </c>
      <c r="Q26" s="48">
        <f t="shared" si="16"/>
        <v>88776.925619378162</v>
      </c>
      <c r="R26" s="48">
        <f t="shared" si="16"/>
        <v>0</v>
      </c>
      <c r="S26" s="48">
        <f t="shared" si="16"/>
        <v>0</v>
      </c>
      <c r="T26" s="48">
        <f t="shared" si="16"/>
        <v>0</v>
      </c>
      <c r="U26" s="48">
        <f t="shared" si="16"/>
        <v>96094.999356342843</v>
      </c>
      <c r="V26" s="48">
        <f t="shared" si="16"/>
        <v>0</v>
      </c>
      <c r="W26" s="48">
        <f t="shared" si="16"/>
        <v>0</v>
      </c>
      <c r="X26" s="48">
        <f t="shared" si="16"/>
        <v>0</v>
      </c>
      <c r="Y26" s="48">
        <f t="shared" si="16"/>
        <v>104016.3177184848</v>
      </c>
      <c r="Z26" s="48">
        <f t="shared" si="16"/>
        <v>0</v>
      </c>
      <c r="AA26" s="48">
        <f t="shared" si="16"/>
        <v>0</v>
      </c>
      <c r="AB26" s="48">
        <f t="shared" si="16"/>
        <v>0</v>
      </c>
      <c r="AC26" s="48">
        <f t="shared" si="16"/>
        <v>112590.60746326575</v>
      </c>
      <c r="AD26" s="48">
        <f t="shared" si="16"/>
        <v>0</v>
      </c>
      <c r="AE26" s="48">
        <f t="shared" si="16"/>
        <v>0</v>
      </c>
      <c r="AF26" s="48">
        <f t="shared" si="16"/>
        <v>0</v>
      </c>
      <c r="AG26" s="48">
        <f t="shared" si="16"/>
        <v>121871.69443217489</v>
      </c>
      <c r="AH26" s="48">
        <f t="shared" si="16"/>
        <v>0</v>
      </c>
      <c r="AI26" s="48">
        <f t="shared" si="16"/>
        <v>0</v>
      </c>
      <c r="AJ26" s="49">
        <f t="array" ref="AJ26">NPV(discrate,F26:AI26)</f>
        <v>420460.49019735074</v>
      </c>
      <c r="AK26" s="49">
        <f>'Detailed Results'!H34</f>
        <v>420460.49019735074</v>
      </c>
      <c r="AL26" s="18"/>
    </row>
    <row r="27" spans="1:49" ht="12.75" customHeight="1" x14ac:dyDescent="0.25">
      <c r="B27" s="126" t="s">
        <v>24</v>
      </c>
      <c r="C27" s="127"/>
      <c r="D27" s="24"/>
      <c r="E27" s="59">
        <f>E18</f>
        <v>4150000</v>
      </c>
      <c r="F27" s="59">
        <f t="shared" ref="F27:AI27" si="17">F26+F22</f>
        <v>0</v>
      </c>
      <c r="G27" s="59">
        <f t="shared" si="17"/>
        <v>0</v>
      </c>
      <c r="H27" s="59">
        <f t="shared" si="17"/>
        <v>0</v>
      </c>
      <c r="I27" s="59">
        <f t="shared" si="17"/>
        <v>75770.251199999999</v>
      </c>
      <c r="J27" s="59">
        <f t="shared" si="17"/>
        <v>0</v>
      </c>
      <c r="K27" s="59">
        <f t="shared" si="17"/>
        <v>0</v>
      </c>
      <c r="L27" s="59">
        <f t="shared" si="17"/>
        <v>0</v>
      </c>
      <c r="M27" s="59">
        <f t="shared" si="17"/>
        <v>82016.156670158583</v>
      </c>
      <c r="N27" s="59">
        <f t="shared" si="17"/>
        <v>0</v>
      </c>
      <c r="O27" s="59">
        <f t="shared" si="17"/>
        <v>0</v>
      </c>
      <c r="P27" s="59">
        <f t="shared" si="17"/>
        <v>0</v>
      </c>
      <c r="Q27" s="59">
        <f t="shared" si="17"/>
        <v>88776.925619378162</v>
      </c>
      <c r="R27" s="59">
        <f t="shared" si="17"/>
        <v>0</v>
      </c>
      <c r="S27" s="59">
        <f t="shared" si="17"/>
        <v>0</v>
      </c>
      <c r="T27" s="59">
        <f t="shared" si="17"/>
        <v>0</v>
      </c>
      <c r="U27" s="59">
        <f t="shared" si="17"/>
        <v>96094.999356342843</v>
      </c>
      <c r="V27" s="59">
        <f t="shared" si="17"/>
        <v>0</v>
      </c>
      <c r="W27" s="59">
        <f t="shared" si="17"/>
        <v>0</v>
      </c>
      <c r="X27" s="59">
        <f t="shared" si="17"/>
        <v>0</v>
      </c>
      <c r="Y27" s="59">
        <f t="shared" si="17"/>
        <v>104016.3177184848</v>
      </c>
      <c r="Z27" s="59">
        <f t="shared" si="17"/>
        <v>0</v>
      </c>
      <c r="AA27" s="59">
        <f t="shared" si="17"/>
        <v>0</v>
      </c>
      <c r="AB27" s="59">
        <f t="shared" si="17"/>
        <v>0</v>
      </c>
      <c r="AC27" s="59">
        <f t="shared" si="17"/>
        <v>112590.60746326575</v>
      </c>
      <c r="AD27" s="59">
        <f t="shared" si="17"/>
        <v>0</v>
      </c>
      <c r="AE27" s="59">
        <f t="shared" si="17"/>
        <v>0</v>
      </c>
      <c r="AF27" s="59">
        <f t="shared" si="17"/>
        <v>0</v>
      </c>
      <c r="AG27" s="59">
        <f t="shared" si="17"/>
        <v>121871.69443217489</v>
      </c>
      <c r="AH27" s="59">
        <f t="shared" si="17"/>
        <v>0</v>
      </c>
      <c r="AI27" s="59">
        <f t="shared" si="17"/>
        <v>0</v>
      </c>
      <c r="AJ27" s="60">
        <f t="array" ref="AJ27">NPV(discrate,F27:AI27)+E27</f>
        <v>4570460.4901973512</v>
      </c>
      <c r="AK27" s="60">
        <f>'Detailed Results'!I34</f>
        <v>4570460.4901973512</v>
      </c>
      <c r="AL27" s="18"/>
    </row>
    <row r="28" spans="1:49" ht="12.75" hidden="1" customHeight="1" x14ac:dyDescent="0.25">
      <c r="B28" s="18"/>
      <c r="C28" s="18"/>
      <c r="D28" s="18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63"/>
      <c r="AK28" s="65"/>
      <c r="AL28" s="18"/>
    </row>
    <row r="29" spans="1:49" ht="12.75" hidden="1" customHeight="1" x14ac:dyDescent="0.25">
      <c r="B29" s="73" t="s">
        <v>25</v>
      </c>
      <c r="C29" s="74" t="s">
        <v>5</v>
      </c>
      <c r="D29" s="74"/>
      <c r="E29" s="75">
        <v>0</v>
      </c>
      <c r="F29" s="75">
        <v>1</v>
      </c>
      <c r="G29" s="75">
        <v>2</v>
      </c>
      <c r="H29" s="75">
        <v>3</v>
      </c>
      <c r="I29" s="75">
        <v>4</v>
      </c>
      <c r="J29" s="75">
        <v>5</v>
      </c>
      <c r="K29" s="75">
        <v>6</v>
      </c>
      <c r="L29" s="75">
        <v>7</v>
      </c>
      <c r="M29" s="75">
        <v>8</v>
      </c>
      <c r="N29" s="75">
        <v>9</v>
      </c>
      <c r="O29" s="75">
        <v>10</v>
      </c>
      <c r="P29" s="75">
        <v>11</v>
      </c>
      <c r="Q29" s="75">
        <v>12</v>
      </c>
      <c r="R29" s="75">
        <v>13</v>
      </c>
      <c r="S29" s="75">
        <v>14</v>
      </c>
      <c r="T29" s="75">
        <v>15</v>
      </c>
      <c r="U29" s="75">
        <v>16</v>
      </c>
      <c r="V29" s="75">
        <v>17</v>
      </c>
      <c r="W29" s="75">
        <v>18</v>
      </c>
      <c r="X29" s="75">
        <v>19</v>
      </c>
      <c r="Y29" s="75">
        <v>20</v>
      </c>
      <c r="Z29" s="75">
        <v>21</v>
      </c>
      <c r="AA29" s="75">
        <v>22</v>
      </c>
      <c r="AB29" s="75">
        <v>23</v>
      </c>
      <c r="AC29" s="75">
        <v>24</v>
      </c>
      <c r="AD29" s="75">
        <v>25</v>
      </c>
      <c r="AE29" s="75">
        <v>26</v>
      </c>
      <c r="AF29" s="75">
        <v>27</v>
      </c>
      <c r="AG29" s="75">
        <v>28</v>
      </c>
      <c r="AH29" s="75">
        <v>29</v>
      </c>
      <c r="AI29" s="75">
        <v>30</v>
      </c>
      <c r="AJ29" s="74" t="s">
        <v>6</v>
      </c>
      <c r="AK29" s="65"/>
      <c r="AL29" s="18"/>
    </row>
    <row r="30" spans="1:49" ht="12.75" hidden="1" customHeight="1" x14ac:dyDescent="0.25">
      <c r="A30" s="1"/>
      <c r="B30" s="76" t="s">
        <v>26</v>
      </c>
      <c r="C30" s="77"/>
      <c r="D30" s="28"/>
      <c r="E30" s="29">
        <f t="shared" ref="E30:AI30" si="18">IF($D30=E$5,$C30,0)</f>
        <v>0</v>
      </c>
      <c r="F30" s="29">
        <f t="shared" si="18"/>
        <v>0</v>
      </c>
      <c r="G30" s="29">
        <f t="shared" si="18"/>
        <v>0</v>
      </c>
      <c r="H30" s="29">
        <f t="shared" si="18"/>
        <v>0</v>
      </c>
      <c r="I30" s="29">
        <f t="shared" si="18"/>
        <v>0</v>
      </c>
      <c r="J30" s="29">
        <f t="shared" si="18"/>
        <v>0</v>
      </c>
      <c r="K30" s="29">
        <f t="shared" si="18"/>
        <v>0</v>
      </c>
      <c r="L30" s="29">
        <f t="shared" si="18"/>
        <v>0</v>
      </c>
      <c r="M30" s="29">
        <f t="shared" si="18"/>
        <v>0</v>
      </c>
      <c r="N30" s="29">
        <f t="shared" si="18"/>
        <v>0</v>
      </c>
      <c r="O30" s="29">
        <f t="shared" si="18"/>
        <v>0</v>
      </c>
      <c r="P30" s="29">
        <f t="shared" si="18"/>
        <v>0</v>
      </c>
      <c r="Q30" s="29">
        <f t="shared" si="18"/>
        <v>0</v>
      </c>
      <c r="R30" s="29">
        <f t="shared" si="18"/>
        <v>0</v>
      </c>
      <c r="S30" s="29">
        <f t="shared" si="18"/>
        <v>0</v>
      </c>
      <c r="T30" s="29">
        <f t="shared" si="18"/>
        <v>0</v>
      </c>
      <c r="U30" s="29">
        <f t="shared" si="18"/>
        <v>0</v>
      </c>
      <c r="V30" s="29">
        <f t="shared" si="18"/>
        <v>0</v>
      </c>
      <c r="W30" s="29">
        <f t="shared" si="18"/>
        <v>0</v>
      </c>
      <c r="X30" s="29">
        <f t="shared" si="18"/>
        <v>0</v>
      </c>
      <c r="Y30" s="29">
        <f t="shared" si="18"/>
        <v>0</v>
      </c>
      <c r="Z30" s="29">
        <f t="shared" si="18"/>
        <v>0</v>
      </c>
      <c r="AA30" s="29">
        <f t="shared" si="18"/>
        <v>0</v>
      </c>
      <c r="AB30" s="29">
        <f t="shared" si="18"/>
        <v>0</v>
      </c>
      <c r="AC30" s="29">
        <f t="shared" si="18"/>
        <v>0</v>
      </c>
      <c r="AD30" s="29">
        <f t="shared" si="18"/>
        <v>0</v>
      </c>
      <c r="AE30" s="29">
        <f t="shared" si="18"/>
        <v>0</v>
      </c>
      <c r="AF30" s="29">
        <f t="shared" si="18"/>
        <v>0</v>
      </c>
      <c r="AG30" s="29">
        <f t="shared" si="18"/>
        <v>0</v>
      </c>
      <c r="AH30" s="29">
        <f t="shared" si="18"/>
        <v>0</v>
      </c>
      <c r="AI30" s="29">
        <f t="shared" si="18"/>
        <v>0</v>
      </c>
      <c r="AJ30" s="30">
        <f>E30</f>
        <v>0</v>
      </c>
      <c r="AK30" s="36"/>
      <c r="AL30" s="18"/>
    </row>
    <row r="31" spans="1:49" ht="12.75" hidden="1" customHeight="1" x14ac:dyDescent="0.25">
      <c r="A31" s="1"/>
      <c r="B31" s="32" t="s">
        <v>8</v>
      </c>
      <c r="C31" s="33" t="s">
        <v>9</v>
      </c>
      <c r="D31" s="33" t="s">
        <v>10</v>
      </c>
      <c r="E31" s="33" t="s">
        <v>11</v>
      </c>
      <c r="F31" s="34">
        <v>1</v>
      </c>
      <c r="G31" s="34">
        <v>2</v>
      </c>
      <c r="H31" s="34">
        <v>3</v>
      </c>
      <c r="I31" s="34">
        <v>4</v>
      </c>
      <c r="J31" s="34">
        <v>5</v>
      </c>
      <c r="K31" s="34">
        <v>6</v>
      </c>
      <c r="L31" s="34">
        <v>7</v>
      </c>
      <c r="M31" s="34">
        <v>8</v>
      </c>
      <c r="N31" s="34">
        <v>9</v>
      </c>
      <c r="O31" s="34">
        <v>10</v>
      </c>
      <c r="P31" s="34">
        <v>11</v>
      </c>
      <c r="Q31" s="34">
        <v>12</v>
      </c>
      <c r="R31" s="34">
        <v>13</v>
      </c>
      <c r="S31" s="34">
        <v>14</v>
      </c>
      <c r="T31" s="34">
        <v>15</v>
      </c>
      <c r="U31" s="34">
        <v>16</v>
      </c>
      <c r="V31" s="34">
        <v>17</v>
      </c>
      <c r="W31" s="34">
        <v>18</v>
      </c>
      <c r="X31" s="34">
        <v>19</v>
      </c>
      <c r="Y31" s="34">
        <v>20</v>
      </c>
      <c r="Z31" s="34">
        <v>21</v>
      </c>
      <c r="AA31" s="34">
        <v>22</v>
      </c>
      <c r="AB31" s="34">
        <v>23</v>
      </c>
      <c r="AC31" s="34">
        <v>24</v>
      </c>
      <c r="AD31" s="34">
        <v>25</v>
      </c>
      <c r="AE31" s="34">
        <v>26</v>
      </c>
      <c r="AF31" s="34">
        <v>27</v>
      </c>
      <c r="AG31" s="34">
        <v>28</v>
      </c>
      <c r="AH31" s="34">
        <v>29</v>
      </c>
      <c r="AI31" s="34">
        <v>30</v>
      </c>
      <c r="AJ31" s="35"/>
      <c r="AK31" s="36"/>
      <c r="AL31" s="2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</row>
    <row r="32" spans="1:49" ht="12.75" hidden="1" customHeight="1" x14ac:dyDescent="0.25">
      <c r="A32" s="1"/>
      <c r="B32" s="78" t="s">
        <v>12</v>
      </c>
      <c r="C32" s="79"/>
      <c r="D32" s="80">
        <v>0</v>
      </c>
      <c r="E32" s="29">
        <f>C32*D32</f>
        <v>0</v>
      </c>
      <c r="F32" s="29">
        <f t="shared" ref="F32:O33" si="19">$E32*(1+eirate)^F$7</f>
        <v>0</v>
      </c>
      <c r="G32" s="29">
        <f t="shared" si="19"/>
        <v>0</v>
      </c>
      <c r="H32" s="29">
        <f t="shared" si="19"/>
        <v>0</v>
      </c>
      <c r="I32" s="29">
        <f t="shared" si="19"/>
        <v>0</v>
      </c>
      <c r="J32" s="29">
        <f t="shared" si="19"/>
        <v>0</v>
      </c>
      <c r="K32" s="29">
        <f t="shared" si="19"/>
        <v>0</v>
      </c>
      <c r="L32" s="29">
        <f t="shared" si="19"/>
        <v>0</v>
      </c>
      <c r="M32" s="29">
        <f t="shared" si="19"/>
        <v>0</v>
      </c>
      <c r="N32" s="29">
        <f t="shared" si="19"/>
        <v>0</v>
      </c>
      <c r="O32" s="29">
        <f t="shared" si="19"/>
        <v>0</v>
      </c>
      <c r="P32" s="29">
        <f t="shared" ref="P32:Y33" si="20">$E32*(1+eirate)^P$7</f>
        <v>0</v>
      </c>
      <c r="Q32" s="29">
        <f t="shared" si="20"/>
        <v>0</v>
      </c>
      <c r="R32" s="29">
        <f t="shared" si="20"/>
        <v>0</v>
      </c>
      <c r="S32" s="29">
        <f t="shared" si="20"/>
        <v>0</v>
      </c>
      <c r="T32" s="29">
        <f t="shared" si="20"/>
        <v>0</v>
      </c>
      <c r="U32" s="29">
        <f t="shared" si="20"/>
        <v>0</v>
      </c>
      <c r="V32" s="29">
        <f t="shared" si="20"/>
        <v>0</v>
      </c>
      <c r="W32" s="29">
        <f t="shared" si="20"/>
        <v>0</v>
      </c>
      <c r="X32" s="29">
        <f t="shared" si="20"/>
        <v>0</v>
      </c>
      <c r="Y32" s="29">
        <f t="shared" si="20"/>
        <v>0</v>
      </c>
      <c r="Z32" s="29">
        <f t="shared" ref="Z32:AI33" si="21">$E32*(1+eirate)^Z$7</f>
        <v>0</v>
      </c>
      <c r="AA32" s="29">
        <f t="shared" si="21"/>
        <v>0</v>
      </c>
      <c r="AB32" s="29">
        <f t="shared" si="21"/>
        <v>0</v>
      </c>
      <c r="AC32" s="29">
        <f t="shared" si="21"/>
        <v>0</v>
      </c>
      <c r="AD32" s="29">
        <f t="shared" si="21"/>
        <v>0</v>
      </c>
      <c r="AE32" s="29">
        <f t="shared" si="21"/>
        <v>0</v>
      </c>
      <c r="AF32" s="29">
        <f t="shared" si="21"/>
        <v>0</v>
      </c>
      <c r="AG32" s="29">
        <f t="shared" si="21"/>
        <v>0</v>
      </c>
      <c r="AH32" s="29">
        <f t="shared" si="21"/>
        <v>0</v>
      </c>
      <c r="AI32" s="29">
        <f t="shared" si="21"/>
        <v>0</v>
      </c>
      <c r="AJ32" s="40"/>
      <c r="AK32" s="36"/>
      <c r="AL32" s="18"/>
    </row>
    <row r="33" spans="1:41" ht="12.75" hidden="1" customHeight="1" x14ac:dyDescent="0.25">
      <c r="A33" s="1"/>
      <c r="B33" s="81" t="s">
        <v>13</v>
      </c>
      <c r="C33" s="82">
        <v>0</v>
      </c>
      <c r="D33" s="83">
        <v>0</v>
      </c>
      <c r="E33" s="44">
        <f>D33*C33</f>
        <v>0</v>
      </c>
      <c r="F33" s="44">
        <f t="shared" si="19"/>
        <v>0</v>
      </c>
      <c r="G33" s="44">
        <f t="shared" si="19"/>
        <v>0</v>
      </c>
      <c r="H33" s="44">
        <f t="shared" si="19"/>
        <v>0</v>
      </c>
      <c r="I33" s="44">
        <f t="shared" si="19"/>
        <v>0</v>
      </c>
      <c r="J33" s="44">
        <f t="shared" si="19"/>
        <v>0</v>
      </c>
      <c r="K33" s="44">
        <f t="shared" si="19"/>
        <v>0</v>
      </c>
      <c r="L33" s="44">
        <f t="shared" si="19"/>
        <v>0</v>
      </c>
      <c r="M33" s="44">
        <f t="shared" si="19"/>
        <v>0</v>
      </c>
      <c r="N33" s="44">
        <f t="shared" si="19"/>
        <v>0</v>
      </c>
      <c r="O33" s="44">
        <f t="shared" si="19"/>
        <v>0</v>
      </c>
      <c r="P33" s="44">
        <f t="shared" si="20"/>
        <v>0</v>
      </c>
      <c r="Q33" s="44">
        <f t="shared" si="20"/>
        <v>0</v>
      </c>
      <c r="R33" s="44">
        <f t="shared" si="20"/>
        <v>0</v>
      </c>
      <c r="S33" s="44">
        <f t="shared" si="20"/>
        <v>0</v>
      </c>
      <c r="T33" s="44">
        <f t="shared" si="20"/>
        <v>0</v>
      </c>
      <c r="U33" s="44">
        <f t="shared" si="20"/>
        <v>0</v>
      </c>
      <c r="V33" s="44">
        <f t="shared" si="20"/>
        <v>0</v>
      </c>
      <c r="W33" s="44">
        <f t="shared" si="20"/>
        <v>0</v>
      </c>
      <c r="X33" s="44">
        <f t="shared" si="20"/>
        <v>0</v>
      </c>
      <c r="Y33" s="44">
        <f t="shared" si="20"/>
        <v>0</v>
      </c>
      <c r="Z33" s="44">
        <f t="shared" si="21"/>
        <v>0</v>
      </c>
      <c r="AA33" s="44">
        <f t="shared" si="21"/>
        <v>0</v>
      </c>
      <c r="AB33" s="44">
        <f t="shared" si="21"/>
        <v>0</v>
      </c>
      <c r="AC33" s="44">
        <f t="shared" si="21"/>
        <v>0</v>
      </c>
      <c r="AD33" s="44">
        <f t="shared" si="21"/>
        <v>0</v>
      </c>
      <c r="AE33" s="44">
        <f t="shared" si="21"/>
        <v>0</v>
      </c>
      <c r="AF33" s="44">
        <f t="shared" si="21"/>
        <v>0</v>
      </c>
      <c r="AG33" s="44">
        <f t="shared" si="21"/>
        <v>0</v>
      </c>
      <c r="AH33" s="44">
        <f t="shared" si="21"/>
        <v>0</v>
      </c>
      <c r="AI33" s="44">
        <f t="shared" si="21"/>
        <v>0</v>
      </c>
      <c r="AJ33" s="45"/>
      <c r="AK33" s="36"/>
      <c r="AL33" s="18"/>
    </row>
    <row r="34" spans="1:41" ht="12.75" hidden="1" customHeight="1" x14ac:dyDescent="0.25">
      <c r="A34" s="1"/>
      <c r="B34" s="84" t="s">
        <v>14</v>
      </c>
      <c r="C34" s="85"/>
      <c r="D34" s="84"/>
      <c r="E34" s="86">
        <f t="shared" ref="E34:AI34" si="22">SUM(E32:E33)</f>
        <v>0</v>
      </c>
      <c r="F34" s="86">
        <f t="shared" si="22"/>
        <v>0</v>
      </c>
      <c r="G34" s="86">
        <f t="shared" si="22"/>
        <v>0</v>
      </c>
      <c r="H34" s="86">
        <f t="shared" si="22"/>
        <v>0</v>
      </c>
      <c r="I34" s="86">
        <f t="shared" si="22"/>
        <v>0</v>
      </c>
      <c r="J34" s="86">
        <f t="shared" si="22"/>
        <v>0</v>
      </c>
      <c r="K34" s="86">
        <f t="shared" si="22"/>
        <v>0</v>
      </c>
      <c r="L34" s="86">
        <f t="shared" si="22"/>
        <v>0</v>
      </c>
      <c r="M34" s="86">
        <f t="shared" si="22"/>
        <v>0</v>
      </c>
      <c r="N34" s="86">
        <f t="shared" si="22"/>
        <v>0</v>
      </c>
      <c r="O34" s="86">
        <f t="shared" si="22"/>
        <v>0</v>
      </c>
      <c r="P34" s="86">
        <f t="shared" si="22"/>
        <v>0</v>
      </c>
      <c r="Q34" s="86">
        <f t="shared" si="22"/>
        <v>0</v>
      </c>
      <c r="R34" s="86">
        <f t="shared" si="22"/>
        <v>0</v>
      </c>
      <c r="S34" s="86">
        <f t="shared" si="22"/>
        <v>0</v>
      </c>
      <c r="T34" s="86">
        <f t="shared" si="22"/>
        <v>0</v>
      </c>
      <c r="U34" s="86">
        <f t="shared" si="22"/>
        <v>0</v>
      </c>
      <c r="V34" s="86">
        <f t="shared" si="22"/>
        <v>0</v>
      </c>
      <c r="W34" s="86">
        <f t="shared" si="22"/>
        <v>0</v>
      </c>
      <c r="X34" s="86">
        <f t="shared" si="22"/>
        <v>0</v>
      </c>
      <c r="Y34" s="86">
        <f t="shared" si="22"/>
        <v>0</v>
      </c>
      <c r="Z34" s="86">
        <f t="shared" si="22"/>
        <v>0</v>
      </c>
      <c r="AA34" s="86">
        <f t="shared" si="22"/>
        <v>0</v>
      </c>
      <c r="AB34" s="86">
        <f t="shared" si="22"/>
        <v>0</v>
      </c>
      <c r="AC34" s="86">
        <f t="shared" si="22"/>
        <v>0</v>
      </c>
      <c r="AD34" s="86">
        <f t="shared" si="22"/>
        <v>0</v>
      </c>
      <c r="AE34" s="86">
        <f t="shared" si="22"/>
        <v>0</v>
      </c>
      <c r="AF34" s="86">
        <f t="shared" si="22"/>
        <v>0</v>
      </c>
      <c r="AG34" s="86">
        <f t="shared" si="22"/>
        <v>0</v>
      </c>
      <c r="AH34" s="86">
        <f t="shared" si="22"/>
        <v>0</v>
      </c>
      <c r="AI34" s="86">
        <f t="shared" si="22"/>
        <v>0</v>
      </c>
      <c r="AJ34" s="87">
        <f t="array" ref="AJ34">NPV(discrate,F34:AI34)</f>
        <v>0</v>
      </c>
      <c r="AK34" s="87">
        <f>'Detailed Results'!K34</f>
        <v>0</v>
      </c>
      <c r="AL34" s="18"/>
    </row>
    <row r="35" spans="1:41" ht="12.75" hidden="1" customHeight="1" x14ac:dyDescent="0.25">
      <c r="A35" s="1"/>
      <c r="B35" s="32" t="s">
        <v>15</v>
      </c>
      <c r="C35" s="33" t="s">
        <v>5</v>
      </c>
      <c r="D35" s="33" t="s">
        <v>16</v>
      </c>
      <c r="E35" s="33">
        <v>0</v>
      </c>
      <c r="F35" s="51">
        <v>1</v>
      </c>
      <c r="G35" s="51">
        <v>2</v>
      </c>
      <c r="H35" s="51">
        <v>3</v>
      </c>
      <c r="I35" s="51">
        <v>4</v>
      </c>
      <c r="J35" s="51">
        <v>5</v>
      </c>
      <c r="K35" s="51">
        <v>6</v>
      </c>
      <c r="L35" s="51">
        <v>7</v>
      </c>
      <c r="M35" s="51">
        <v>8</v>
      </c>
      <c r="N35" s="51">
        <v>9</v>
      </c>
      <c r="O35" s="51">
        <v>10</v>
      </c>
      <c r="P35" s="51">
        <v>11</v>
      </c>
      <c r="Q35" s="51">
        <v>12</v>
      </c>
      <c r="R35" s="51">
        <v>13</v>
      </c>
      <c r="S35" s="51">
        <v>14</v>
      </c>
      <c r="T35" s="51">
        <v>15</v>
      </c>
      <c r="U35" s="51">
        <v>16</v>
      </c>
      <c r="V35" s="51">
        <v>17</v>
      </c>
      <c r="W35" s="51">
        <v>18</v>
      </c>
      <c r="X35" s="51">
        <v>19</v>
      </c>
      <c r="Y35" s="51">
        <v>20</v>
      </c>
      <c r="Z35" s="51">
        <v>21</v>
      </c>
      <c r="AA35" s="51">
        <v>22</v>
      </c>
      <c r="AB35" s="51">
        <v>23</v>
      </c>
      <c r="AC35" s="51">
        <v>24</v>
      </c>
      <c r="AD35" s="51">
        <v>25</v>
      </c>
      <c r="AE35" s="51">
        <v>26</v>
      </c>
      <c r="AF35" s="51">
        <v>27</v>
      </c>
      <c r="AG35" s="51">
        <v>28</v>
      </c>
      <c r="AH35" s="51">
        <v>29</v>
      </c>
      <c r="AI35" s="51">
        <v>30</v>
      </c>
      <c r="AJ35" s="35"/>
      <c r="AK35" s="36"/>
      <c r="AL35" s="18"/>
    </row>
    <row r="36" spans="1:41" ht="12.75" hidden="1" customHeight="1" x14ac:dyDescent="0.25">
      <c r="A36" s="1"/>
      <c r="B36" s="78" t="s">
        <v>17</v>
      </c>
      <c r="C36" s="77"/>
      <c r="D36" s="88">
        <v>1</v>
      </c>
      <c r="E36" s="29">
        <f>IF($D36,IF(INT(E$11/$D36)=(E$11/$D36),$C36, ),0)</f>
        <v>0</v>
      </c>
      <c r="F36" s="29">
        <f t="shared" ref="F36:AI36" si="23">IF($D36,IF(INT(F$11/$D36)=(F$11/$D36),$C36, ),0)*(1+oirate)^F$11</f>
        <v>0</v>
      </c>
      <c r="G36" s="29">
        <f t="shared" si="23"/>
        <v>0</v>
      </c>
      <c r="H36" s="29">
        <f t="shared" si="23"/>
        <v>0</v>
      </c>
      <c r="I36" s="29">
        <f t="shared" si="23"/>
        <v>0</v>
      </c>
      <c r="J36" s="29">
        <f t="shared" si="23"/>
        <v>0</v>
      </c>
      <c r="K36" s="29">
        <f t="shared" si="23"/>
        <v>0</v>
      </c>
      <c r="L36" s="29">
        <f t="shared" si="23"/>
        <v>0</v>
      </c>
      <c r="M36" s="29">
        <f t="shared" si="23"/>
        <v>0</v>
      </c>
      <c r="N36" s="29">
        <f t="shared" si="23"/>
        <v>0</v>
      </c>
      <c r="O36" s="29">
        <f t="shared" si="23"/>
        <v>0</v>
      </c>
      <c r="P36" s="29">
        <f t="shared" si="23"/>
        <v>0</v>
      </c>
      <c r="Q36" s="29">
        <f t="shared" si="23"/>
        <v>0</v>
      </c>
      <c r="R36" s="29">
        <f t="shared" si="23"/>
        <v>0</v>
      </c>
      <c r="S36" s="29">
        <f t="shared" si="23"/>
        <v>0</v>
      </c>
      <c r="T36" s="29">
        <f t="shared" si="23"/>
        <v>0</v>
      </c>
      <c r="U36" s="29">
        <f t="shared" si="23"/>
        <v>0</v>
      </c>
      <c r="V36" s="29">
        <f t="shared" si="23"/>
        <v>0</v>
      </c>
      <c r="W36" s="29">
        <f t="shared" si="23"/>
        <v>0</v>
      </c>
      <c r="X36" s="29">
        <f t="shared" si="23"/>
        <v>0</v>
      </c>
      <c r="Y36" s="29">
        <f t="shared" si="23"/>
        <v>0</v>
      </c>
      <c r="Z36" s="29">
        <f t="shared" si="23"/>
        <v>0</v>
      </c>
      <c r="AA36" s="29">
        <f t="shared" si="23"/>
        <v>0</v>
      </c>
      <c r="AB36" s="29">
        <f t="shared" si="23"/>
        <v>0</v>
      </c>
      <c r="AC36" s="29">
        <f t="shared" si="23"/>
        <v>0</v>
      </c>
      <c r="AD36" s="29">
        <f t="shared" si="23"/>
        <v>0</v>
      </c>
      <c r="AE36" s="29">
        <f t="shared" si="23"/>
        <v>0</v>
      </c>
      <c r="AF36" s="29">
        <f t="shared" si="23"/>
        <v>0</v>
      </c>
      <c r="AG36" s="29">
        <f t="shared" si="23"/>
        <v>0</v>
      </c>
      <c r="AH36" s="29">
        <f t="shared" si="23"/>
        <v>0</v>
      </c>
      <c r="AI36" s="29">
        <f t="shared" si="23"/>
        <v>0</v>
      </c>
      <c r="AJ36" s="40"/>
      <c r="AK36" s="36"/>
      <c r="AL36" s="18"/>
    </row>
    <row r="37" spans="1:41" ht="12.75" hidden="1" customHeight="1" x14ac:dyDescent="0.25">
      <c r="A37" s="1"/>
      <c r="B37" s="81" t="s">
        <v>18</v>
      </c>
      <c r="C37" s="82">
        <f>C33*1.86/1000</f>
        <v>0</v>
      </c>
      <c r="D37" s="89" t="s">
        <v>19</v>
      </c>
      <c r="E37" s="44"/>
      <c r="F37" s="44">
        <f>$C$37*F43</f>
        <v>0</v>
      </c>
      <c r="G37" s="44">
        <f t="shared" ref="G37:AI37" si="24">$C$37*G43</f>
        <v>0</v>
      </c>
      <c r="H37" s="44">
        <f t="shared" si="24"/>
        <v>0</v>
      </c>
      <c r="I37" s="44">
        <f t="shared" si="24"/>
        <v>0</v>
      </c>
      <c r="J37" s="44">
        <f t="shared" si="24"/>
        <v>0</v>
      </c>
      <c r="K37" s="44">
        <f t="shared" si="24"/>
        <v>0</v>
      </c>
      <c r="L37" s="44">
        <f t="shared" si="24"/>
        <v>0</v>
      </c>
      <c r="M37" s="44">
        <f t="shared" si="24"/>
        <v>0</v>
      </c>
      <c r="N37" s="44">
        <f t="shared" si="24"/>
        <v>0</v>
      </c>
      <c r="O37" s="44">
        <f t="shared" si="24"/>
        <v>0</v>
      </c>
      <c r="P37" s="44">
        <f t="shared" si="24"/>
        <v>0</v>
      </c>
      <c r="Q37" s="44">
        <f t="shared" si="24"/>
        <v>0</v>
      </c>
      <c r="R37" s="44">
        <f t="shared" si="24"/>
        <v>0</v>
      </c>
      <c r="S37" s="44">
        <f t="shared" si="24"/>
        <v>0</v>
      </c>
      <c r="T37" s="44">
        <f t="shared" si="24"/>
        <v>0</v>
      </c>
      <c r="U37" s="44">
        <f t="shared" si="24"/>
        <v>0</v>
      </c>
      <c r="V37" s="44">
        <f t="shared" si="24"/>
        <v>0</v>
      </c>
      <c r="W37" s="44">
        <f t="shared" si="24"/>
        <v>0</v>
      </c>
      <c r="X37" s="44">
        <f t="shared" si="24"/>
        <v>0</v>
      </c>
      <c r="Y37" s="44">
        <f t="shared" si="24"/>
        <v>0</v>
      </c>
      <c r="Z37" s="44">
        <f t="shared" si="24"/>
        <v>0</v>
      </c>
      <c r="AA37" s="44">
        <f t="shared" si="24"/>
        <v>0</v>
      </c>
      <c r="AB37" s="44">
        <f t="shared" si="24"/>
        <v>0</v>
      </c>
      <c r="AC37" s="44">
        <f t="shared" si="24"/>
        <v>0</v>
      </c>
      <c r="AD37" s="44">
        <f t="shared" si="24"/>
        <v>0</v>
      </c>
      <c r="AE37" s="44">
        <f t="shared" si="24"/>
        <v>0</v>
      </c>
      <c r="AF37" s="44">
        <f t="shared" si="24"/>
        <v>0</v>
      </c>
      <c r="AG37" s="44">
        <f t="shared" si="24"/>
        <v>0</v>
      </c>
      <c r="AH37" s="44">
        <f t="shared" si="24"/>
        <v>0</v>
      </c>
      <c r="AI37" s="44">
        <f t="shared" si="24"/>
        <v>0</v>
      </c>
      <c r="AJ37" s="45"/>
      <c r="AK37" s="36"/>
      <c r="AL37" s="23"/>
      <c r="AM37" s="3"/>
      <c r="AN37" s="3"/>
      <c r="AO37" s="3"/>
    </row>
    <row r="38" spans="1:41" ht="12.75" hidden="1" customHeight="1" x14ac:dyDescent="0.25">
      <c r="A38" s="1"/>
      <c r="B38" s="84" t="s">
        <v>20</v>
      </c>
      <c r="C38" s="90">
        <f>SUM(C36:C37)</f>
        <v>0</v>
      </c>
      <c r="D38" s="84"/>
      <c r="E38" s="86">
        <f t="shared" ref="E38:AI38" si="25">SUM(E36:E37)</f>
        <v>0</v>
      </c>
      <c r="F38" s="86">
        <f t="shared" si="25"/>
        <v>0</v>
      </c>
      <c r="G38" s="86">
        <f t="shared" si="25"/>
        <v>0</v>
      </c>
      <c r="H38" s="86">
        <f t="shared" si="25"/>
        <v>0</v>
      </c>
      <c r="I38" s="86">
        <f t="shared" si="25"/>
        <v>0</v>
      </c>
      <c r="J38" s="86">
        <f t="shared" si="25"/>
        <v>0</v>
      </c>
      <c r="K38" s="86">
        <f t="shared" si="25"/>
        <v>0</v>
      </c>
      <c r="L38" s="86">
        <f t="shared" si="25"/>
        <v>0</v>
      </c>
      <c r="M38" s="86">
        <f t="shared" si="25"/>
        <v>0</v>
      </c>
      <c r="N38" s="86">
        <f t="shared" si="25"/>
        <v>0</v>
      </c>
      <c r="O38" s="86">
        <f t="shared" si="25"/>
        <v>0</v>
      </c>
      <c r="P38" s="86">
        <f t="shared" si="25"/>
        <v>0</v>
      </c>
      <c r="Q38" s="86">
        <f t="shared" si="25"/>
        <v>0</v>
      </c>
      <c r="R38" s="86">
        <f t="shared" si="25"/>
        <v>0</v>
      </c>
      <c r="S38" s="86">
        <f t="shared" si="25"/>
        <v>0</v>
      </c>
      <c r="T38" s="86">
        <f t="shared" si="25"/>
        <v>0</v>
      </c>
      <c r="U38" s="86">
        <f t="shared" si="25"/>
        <v>0</v>
      </c>
      <c r="V38" s="86">
        <f t="shared" si="25"/>
        <v>0</v>
      </c>
      <c r="W38" s="86">
        <f t="shared" si="25"/>
        <v>0</v>
      </c>
      <c r="X38" s="86">
        <f t="shared" si="25"/>
        <v>0</v>
      </c>
      <c r="Y38" s="86">
        <f t="shared" si="25"/>
        <v>0</v>
      </c>
      <c r="Z38" s="86">
        <f t="shared" si="25"/>
        <v>0</v>
      </c>
      <c r="AA38" s="86">
        <f t="shared" si="25"/>
        <v>0</v>
      </c>
      <c r="AB38" s="86">
        <f t="shared" si="25"/>
        <v>0</v>
      </c>
      <c r="AC38" s="86">
        <f t="shared" si="25"/>
        <v>0</v>
      </c>
      <c r="AD38" s="86">
        <f t="shared" si="25"/>
        <v>0</v>
      </c>
      <c r="AE38" s="86">
        <f t="shared" si="25"/>
        <v>0</v>
      </c>
      <c r="AF38" s="86">
        <f t="shared" si="25"/>
        <v>0</v>
      </c>
      <c r="AG38" s="86">
        <f t="shared" si="25"/>
        <v>0</v>
      </c>
      <c r="AH38" s="86">
        <f t="shared" si="25"/>
        <v>0</v>
      </c>
      <c r="AI38" s="86">
        <f t="shared" si="25"/>
        <v>0</v>
      </c>
      <c r="AJ38" s="87">
        <f t="array" ref="AJ38">NPV(discrate,F38:AI38)</f>
        <v>0</v>
      </c>
      <c r="AK38" s="87">
        <f>'Detailed Results'!L34</f>
        <v>0</v>
      </c>
      <c r="AL38" s="18"/>
    </row>
    <row r="39" spans="1:41" ht="12.75" hidden="1" customHeight="1" x14ac:dyDescent="0.25">
      <c r="B39" s="128" t="s">
        <v>27</v>
      </c>
      <c r="C39" s="129"/>
      <c r="D39" s="73"/>
      <c r="E39" s="91">
        <f>E30</f>
        <v>0</v>
      </c>
      <c r="F39" s="91">
        <f t="shared" ref="F39:AI39" si="26">F38+F34</f>
        <v>0</v>
      </c>
      <c r="G39" s="91">
        <f t="shared" si="26"/>
        <v>0</v>
      </c>
      <c r="H39" s="91">
        <f t="shared" si="26"/>
        <v>0</v>
      </c>
      <c r="I39" s="91">
        <f t="shared" si="26"/>
        <v>0</v>
      </c>
      <c r="J39" s="91">
        <f t="shared" si="26"/>
        <v>0</v>
      </c>
      <c r="K39" s="91">
        <f t="shared" si="26"/>
        <v>0</v>
      </c>
      <c r="L39" s="91">
        <f t="shared" si="26"/>
        <v>0</v>
      </c>
      <c r="M39" s="91">
        <f t="shared" si="26"/>
        <v>0</v>
      </c>
      <c r="N39" s="91">
        <f t="shared" si="26"/>
        <v>0</v>
      </c>
      <c r="O39" s="91">
        <f t="shared" si="26"/>
        <v>0</v>
      </c>
      <c r="P39" s="91">
        <f t="shared" si="26"/>
        <v>0</v>
      </c>
      <c r="Q39" s="91">
        <f t="shared" si="26"/>
        <v>0</v>
      </c>
      <c r="R39" s="91">
        <f t="shared" si="26"/>
        <v>0</v>
      </c>
      <c r="S39" s="91">
        <f t="shared" si="26"/>
        <v>0</v>
      </c>
      <c r="T39" s="91">
        <f t="shared" si="26"/>
        <v>0</v>
      </c>
      <c r="U39" s="91">
        <f t="shared" si="26"/>
        <v>0</v>
      </c>
      <c r="V39" s="91">
        <f t="shared" si="26"/>
        <v>0</v>
      </c>
      <c r="W39" s="91">
        <f t="shared" si="26"/>
        <v>0</v>
      </c>
      <c r="X39" s="91">
        <f t="shared" si="26"/>
        <v>0</v>
      </c>
      <c r="Y39" s="91">
        <f t="shared" si="26"/>
        <v>0</v>
      </c>
      <c r="Z39" s="91">
        <f t="shared" si="26"/>
        <v>0</v>
      </c>
      <c r="AA39" s="91">
        <f t="shared" si="26"/>
        <v>0</v>
      </c>
      <c r="AB39" s="91">
        <f t="shared" si="26"/>
        <v>0</v>
      </c>
      <c r="AC39" s="91">
        <f t="shared" si="26"/>
        <v>0</v>
      </c>
      <c r="AD39" s="91">
        <f t="shared" si="26"/>
        <v>0</v>
      </c>
      <c r="AE39" s="91">
        <f t="shared" si="26"/>
        <v>0</v>
      </c>
      <c r="AF39" s="91">
        <f t="shared" si="26"/>
        <v>0</v>
      </c>
      <c r="AG39" s="91">
        <f t="shared" si="26"/>
        <v>0</v>
      </c>
      <c r="AH39" s="91">
        <f t="shared" si="26"/>
        <v>0</v>
      </c>
      <c r="AI39" s="91">
        <f t="shared" si="26"/>
        <v>0</v>
      </c>
      <c r="AJ39" s="92">
        <f t="array" ref="AJ39">NPV(discrate,F39:AI39)+E39</f>
        <v>0</v>
      </c>
      <c r="AK39" s="92">
        <f>'Detailed Results'!N34</f>
        <v>0</v>
      </c>
      <c r="AL39" s="18"/>
    </row>
    <row r="40" spans="1:41" ht="12.75" customHeight="1" x14ac:dyDescent="0.25">
      <c r="B40" s="18"/>
      <c r="C40" s="18"/>
      <c r="D40" s="18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  <c r="AA40" s="72"/>
      <c r="AB40" s="72"/>
      <c r="AC40" s="72"/>
      <c r="AD40" s="72"/>
      <c r="AE40" s="72"/>
      <c r="AF40" s="72"/>
      <c r="AG40" s="72"/>
      <c r="AH40" s="72"/>
      <c r="AI40" s="72"/>
      <c r="AJ40" s="93"/>
      <c r="AK40" s="18"/>
      <c r="AL40" s="18"/>
    </row>
    <row r="41" spans="1:41" ht="12.75" customHeight="1" x14ac:dyDescent="0.25">
      <c r="B41" s="94" t="s">
        <v>28</v>
      </c>
      <c r="C41" s="95"/>
      <c r="D41" s="95"/>
      <c r="E41" s="96"/>
      <c r="F41" s="97">
        <f>14.727*(F29+1)+36.27</f>
        <v>65.724000000000004</v>
      </c>
      <c r="G41" s="97">
        <f t="shared" ref="G41:AI41" si="27">14.727*(G29+1)+36.27</f>
        <v>80.450999999999993</v>
      </c>
      <c r="H41" s="97">
        <f t="shared" si="27"/>
        <v>95.177999999999997</v>
      </c>
      <c r="I41" s="97">
        <f t="shared" si="27"/>
        <v>109.905</v>
      </c>
      <c r="J41" s="97">
        <f t="shared" si="27"/>
        <v>124.63200000000001</v>
      </c>
      <c r="K41" s="97">
        <f t="shared" si="27"/>
        <v>139.35900000000001</v>
      </c>
      <c r="L41" s="97">
        <f t="shared" si="27"/>
        <v>154.08600000000001</v>
      </c>
      <c r="M41" s="97">
        <f t="shared" si="27"/>
        <v>168.81300000000002</v>
      </c>
      <c r="N41" s="97">
        <f t="shared" si="27"/>
        <v>183.54000000000002</v>
      </c>
      <c r="O41" s="97">
        <f t="shared" si="27"/>
        <v>198.26700000000002</v>
      </c>
      <c r="P41" s="97">
        <f t="shared" si="27"/>
        <v>212.994</v>
      </c>
      <c r="Q41" s="97">
        <f t="shared" si="27"/>
        <v>227.721</v>
      </c>
      <c r="R41" s="97">
        <f t="shared" si="27"/>
        <v>242.44800000000001</v>
      </c>
      <c r="S41" s="97">
        <f t="shared" si="27"/>
        <v>257.17500000000001</v>
      </c>
      <c r="T41" s="97">
        <f t="shared" si="27"/>
        <v>271.90199999999999</v>
      </c>
      <c r="U41" s="97">
        <f t="shared" si="27"/>
        <v>286.62900000000002</v>
      </c>
      <c r="V41" s="97">
        <f t="shared" si="27"/>
        <v>301.35599999999999</v>
      </c>
      <c r="W41" s="97">
        <f t="shared" si="27"/>
        <v>316.08299999999997</v>
      </c>
      <c r="X41" s="97">
        <f t="shared" si="27"/>
        <v>330.81</v>
      </c>
      <c r="Y41" s="97">
        <f t="shared" si="27"/>
        <v>345.53699999999998</v>
      </c>
      <c r="Z41" s="97">
        <f t="shared" si="27"/>
        <v>360.26400000000001</v>
      </c>
      <c r="AA41" s="97">
        <f t="shared" si="27"/>
        <v>374.99099999999999</v>
      </c>
      <c r="AB41" s="97">
        <f t="shared" si="27"/>
        <v>389.71799999999996</v>
      </c>
      <c r="AC41" s="97">
        <f t="shared" si="27"/>
        <v>404.44499999999999</v>
      </c>
      <c r="AD41" s="97">
        <f t="shared" si="27"/>
        <v>419.17199999999997</v>
      </c>
      <c r="AE41" s="97">
        <f t="shared" si="27"/>
        <v>433.899</v>
      </c>
      <c r="AF41" s="97">
        <f t="shared" si="27"/>
        <v>448.62599999999998</v>
      </c>
      <c r="AG41" s="97">
        <f t="shared" si="27"/>
        <v>463.35300000000001</v>
      </c>
      <c r="AH41" s="97">
        <f t="shared" si="27"/>
        <v>478.08</v>
      </c>
      <c r="AI41" s="97">
        <f t="shared" si="27"/>
        <v>492.80700000000002</v>
      </c>
      <c r="AJ41" s="95"/>
      <c r="AK41" s="18"/>
      <c r="AL41" s="18"/>
    </row>
    <row r="42" spans="1:41" ht="12.75" customHeight="1" x14ac:dyDescent="0.25">
      <c r="B42" s="98" t="s">
        <v>29</v>
      </c>
      <c r="C42" s="98"/>
      <c r="D42" s="98"/>
      <c r="E42" s="99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0"/>
      <c r="Y42" s="100"/>
      <c r="Z42" s="100"/>
      <c r="AA42" s="100"/>
      <c r="AB42" s="100"/>
      <c r="AC42" s="100"/>
      <c r="AD42" s="100"/>
      <c r="AE42" s="100"/>
      <c r="AF42" s="100"/>
      <c r="AG42" s="100"/>
      <c r="AH42" s="100"/>
      <c r="AI42" s="100"/>
      <c r="AJ42" s="98"/>
      <c r="AK42" s="18"/>
      <c r="AL42" s="18"/>
    </row>
    <row r="43" spans="1:41" ht="12.75" customHeight="1" x14ac:dyDescent="0.25">
      <c r="B43" s="101" t="s">
        <v>30</v>
      </c>
      <c r="C43" s="102"/>
      <c r="D43" s="102"/>
      <c r="E43" s="103"/>
      <c r="F43" s="104">
        <f>IF(F42&lt;&gt;"",F42,F41)</f>
        <v>65.724000000000004</v>
      </c>
      <c r="G43" s="104">
        <f t="shared" ref="G43:AI43" si="28">IF(G42&lt;&gt;"",G42,G41)</f>
        <v>80.450999999999993</v>
      </c>
      <c r="H43" s="104">
        <f t="shared" si="28"/>
        <v>95.177999999999997</v>
      </c>
      <c r="I43" s="104">
        <f t="shared" si="28"/>
        <v>109.905</v>
      </c>
      <c r="J43" s="104">
        <f t="shared" si="28"/>
        <v>124.63200000000001</v>
      </c>
      <c r="K43" s="104">
        <f t="shared" si="28"/>
        <v>139.35900000000001</v>
      </c>
      <c r="L43" s="104">
        <f t="shared" si="28"/>
        <v>154.08600000000001</v>
      </c>
      <c r="M43" s="104">
        <f t="shared" si="28"/>
        <v>168.81300000000002</v>
      </c>
      <c r="N43" s="104">
        <f t="shared" si="28"/>
        <v>183.54000000000002</v>
      </c>
      <c r="O43" s="104">
        <f t="shared" si="28"/>
        <v>198.26700000000002</v>
      </c>
      <c r="P43" s="104">
        <f t="shared" si="28"/>
        <v>212.994</v>
      </c>
      <c r="Q43" s="104">
        <f t="shared" si="28"/>
        <v>227.721</v>
      </c>
      <c r="R43" s="104">
        <f t="shared" si="28"/>
        <v>242.44800000000001</v>
      </c>
      <c r="S43" s="104">
        <f t="shared" si="28"/>
        <v>257.17500000000001</v>
      </c>
      <c r="T43" s="104">
        <f t="shared" si="28"/>
        <v>271.90199999999999</v>
      </c>
      <c r="U43" s="104">
        <f t="shared" si="28"/>
        <v>286.62900000000002</v>
      </c>
      <c r="V43" s="104">
        <f t="shared" si="28"/>
        <v>301.35599999999999</v>
      </c>
      <c r="W43" s="104">
        <f t="shared" si="28"/>
        <v>316.08299999999997</v>
      </c>
      <c r="X43" s="104">
        <f t="shared" si="28"/>
        <v>330.81</v>
      </c>
      <c r="Y43" s="104">
        <f t="shared" si="28"/>
        <v>345.53699999999998</v>
      </c>
      <c r="Z43" s="104">
        <f t="shared" si="28"/>
        <v>360.26400000000001</v>
      </c>
      <c r="AA43" s="104">
        <f t="shared" si="28"/>
        <v>374.99099999999999</v>
      </c>
      <c r="AB43" s="104">
        <f t="shared" si="28"/>
        <v>389.71799999999996</v>
      </c>
      <c r="AC43" s="104">
        <f t="shared" si="28"/>
        <v>404.44499999999999</v>
      </c>
      <c r="AD43" s="104">
        <f t="shared" si="28"/>
        <v>419.17199999999997</v>
      </c>
      <c r="AE43" s="104">
        <f t="shared" si="28"/>
        <v>433.899</v>
      </c>
      <c r="AF43" s="104">
        <f t="shared" si="28"/>
        <v>448.62599999999998</v>
      </c>
      <c r="AG43" s="104">
        <f t="shared" si="28"/>
        <v>463.35300000000001</v>
      </c>
      <c r="AH43" s="104">
        <f t="shared" si="28"/>
        <v>478.08</v>
      </c>
      <c r="AI43" s="104">
        <f t="shared" si="28"/>
        <v>492.80700000000002</v>
      </c>
      <c r="AJ43" s="102"/>
      <c r="AK43" s="18"/>
      <c r="AL43" s="18"/>
    </row>
    <row r="44" spans="1:41" ht="12.75" customHeight="1" x14ac:dyDescent="0.25"/>
    <row r="45" spans="1:41" ht="12.75" customHeight="1" x14ac:dyDescent="0.25"/>
    <row r="46" spans="1:41" ht="12.75" customHeight="1" x14ac:dyDescent="0.25"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</row>
    <row r="47" spans="1:41" ht="12.75" customHeight="1" x14ac:dyDescent="0.25">
      <c r="J47" s="2"/>
      <c r="K47" s="2"/>
      <c r="L47" s="2"/>
      <c r="M47" s="2"/>
      <c r="N47" s="2"/>
    </row>
    <row r="48" spans="1:41" ht="12.75" customHeight="1" x14ac:dyDescent="0.25"/>
    <row r="49" ht="12.75" customHeight="1" x14ac:dyDescent="0.25"/>
    <row r="50" ht="12.75" customHeight="1" x14ac:dyDescent="0.25"/>
    <row r="51" ht="12.75" customHeight="1" x14ac:dyDescent="0.25"/>
    <row r="52" ht="12.75" customHeight="1" x14ac:dyDescent="0.25"/>
    <row r="53" ht="12.75" customHeight="1" x14ac:dyDescent="0.25"/>
    <row r="54" ht="12.75" customHeight="1" x14ac:dyDescent="0.25"/>
    <row r="55" ht="12.75" customHeight="1" x14ac:dyDescent="0.25"/>
    <row r="56" ht="12.75" customHeight="1" x14ac:dyDescent="0.25"/>
    <row r="57" ht="12.75" customHeight="1" x14ac:dyDescent="0.25"/>
    <row r="58" ht="12.75" customHeight="1" x14ac:dyDescent="0.25"/>
    <row r="59" ht="12.75" customHeight="1" x14ac:dyDescent="0.25"/>
    <row r="60" ht="12.75" customHeight="1" x14ac:dyDescent="0.25"/>
    <row r="61" ht="12.75" customHeight="1" x14ac:dyDescent="0.25"/>
    <row r="62" ht="12.75" customHeight="1" x14ac:dyDescent="0.25"/>
    <row r="63" ht="12.75" customHeight="1" x14ac:dyDescent="0.25"/>
    <row r="64" ht="12.75" customHeight="1" x14ac:dyDescent="0.25"/>
    <row r="65" ht="12.75" customHeight="1" x14ac:dyDescent="0.25"/>
    <row r="66" ht="12.75" customHeight="1" x14ac:dyDescent="0.25"/>
    <row r="67" ht="12.75" customHeight="1" x14ac:dyDescent="0.25"/>
    <row r="68" ht="12.75" customHeight="1" x14ac:dyDescent="0.25"/>
    <row r="69" ht="12.75" customHeight="1" x14ac:dyDescent="0.25"/>
    <row r="70" ht="12.75" customHeight="1" x14ac:dyDescent="0.25"/>
    <row r="71" ht="12.75" customHeight="1" x14ac:dyDescent="0.25"/>
    <row r="72" ht="12.75" customHeight="1" x14ac:dyDescent="0.25"/>
    <row r="73" ht="12.75" customHeight="1" x14ac:dyDescent="0.25"/>
    <row r="74" ht="12.75" customHeight="1" x14ac:dyDescent="0.25"/>
    <row r="75" ht="12.75" customHeight="1" x14ac:dyDescent="0.25"/>
    <row r="76" ht="12.75" customHeight="1" x14ac:dyDescent="0.25"/>
    <row r="77" ht="12.75" customHeight="1" x14ac:dyDescent="0.25"/>
    <row r="78" ht="12.75" customHeight="1" x14ac:dyDescent="0.25"/>
    <row r="79" ht="12.75" customHeight="1" x14ac:dyDescent="0.25"/>
    <row r="80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2.75" customHeight="1" x14ac:dyDescent="0.25"/>
    <row r="92" ht="12.75" customHeight="1" x14ac:dyDescent="0.25"/>
    <row r="93" ht="12.75" customHeight="1" x14ac:dyDescent="0.25"/>
    <row r="94" ht="12.75" customHeight="1" x14ac:dyDescent="0.25"/>
    <row r="95" ht="12.75" customHeight="1" x14ac:dyDescent="0.25"/>
    <row r="96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2.75" customHeight="1" x14ac:dyDescent="0.25"/>
    <row r="336" ht="12.75" customHeight="1" x14ac:dyDescent="0.25"/>
    <row r="337" ht="12.75" customHeight="1" x14ac:dyDescent="0.25"/>
    <row r="338" ht="12.75" customHeight="1" x14ac:dyDescent="0.25"/>
    <row r="339" ht="12.75" customHeight="1" x14ac:dyDescent="0.25"/>
    <row r="340" ht="12.75" customHeight="1" x14ac:dyDescent="0.25"/>
    <row r="341" ht="12.75" customHeight="1" x14ac:dyDescent="0.25"/>
    <row r="342" ht="12.75" customHeight="1" x14ac:dyDescent="0.25"/>
    <row r="343" ht="12.75" customHeight="1" x14ac:dyDescent="0.25"/>
    <row r="344" ht="12.75" customHeight="1" x14ac:dyDescent="0.25"/>
    <row r="345" ht="12.75" customHeight="1" x14ac:dyDescent="0.25"/>
    <row r="346" ht="12.75" customHeight="1" x14ac:dyDescent="0.25"/>
    <row r="347" ht="12.75" customHeight="1" x14ac:dyDescent="0.25"/>
    <row r="348" ht="12.75" customHeight="1" x14ac:dyDescent="0.25"/>
    <row r="349" ht="12.75" customHeight="1" x14ac:dyDescent="0.25"/>
    <row r="350" ht="12.75" customHeight="1" x14ac:dyDescent="0.25"/>
    <row r="351" ht="12.75" customHeight="1" x14ac:dyDescent="0.25"/>
    <row r="352" ht="12.75" customHeight="1" x14ac:dyDescent="0.25"/>
    <row r="353" ht="12.75" customHeight="1" x14ac:dyDescent="0.25"/>
    <row r="354" ht="12.75" customHeight="1" x14ac:dyDescent="0.25"/>
    <row r="355" ht="12.75" customHeight="1" x14ac:dyDescent="0.25"/>
    <row r="356" ht="12.75" customHeight="1" x14ac:dyDescent="0.25"/>
    <row r="357" ht="12.75" customHeight="1" x14ac:dyDescent="0.25"/>
    <row r="358" ht="12.75" customHeight="1" x14ac:dyDescent="0.25"/>
    <row r="359" ht="12.75" customHeight="1" x14ac:dyDescent="0.25"/>
    <row r="360" ht="12.75" customHeight="1" x14ac:dyDescent="0.25"/>
    <row r="361" ht="12.75" customHeight="1" x14ac:dyDescent="0.25"/>
    <row r="362" ht="12.75" customHeight="1" x14ac:dyDescent="0.25"/>
    <row r="363" ht="12.75" customHeight="1" x14ac:dyDescent="0.25"/>
    <row r="364" ht="12.75" customHeight="1" x14ac:dyDescent="0.25"/>
    <row r="365" ht="12.75" customHeight="1" x14ac:dyDescent="0.25"/>
    <row r="366" ht="12.75" customHeight="1" x14ac:dyDescent="0.25"/>
    <row r="367" ht="12.75" customHeight="1" x14ac:dyDescent="0.25"/>
    <row r="368" ht="12.75" customHeight="1" x14ac:dyDescent="0.25"/>
    <row r="369" ht="12.75" customHeight="1" x14ac:dyDescent="0.25"/>
    <row r="370" ht="12.75" customHeight="1" x14ac:dyDescent="0.25"/>
    <row r="371" ht="12.75" customHeight="1" x14ac:dyDescent="0.25"/>
    <row r="372" ht="12.75" customHeight="1" x14ac:dyDescent="0.25"/>
    <row r="373" ht="12.75" customHeight="1" x14ac:dyDescent="0.25"/>
    <row r="374" ht="12.75" customHeight="1" x14ac:dyDescent="0.25"/>
    <row r="375" ht="12.75" customHeight="1" x14ac:dyDescent="0.25"/>
    <row r="376" ht="12.75" customHeight="1" x14ac:dyDescent="0.25"/>
    <row r="377" ht="12.75" customHeight="1" x14ac:dyDescent="0.25"/>
    <row r="378" ht="12.75" customHeight="1" x14ac:dyDescent="0.25"/>
    <row r="379" ht="12.75" customHeight="1" x14ac:dyDescent="0.25"/>
    <row r="380" ht="12.75" customHeight="1" x14ac:dyDescent="0.25"/>
    <row r="381" ht="12.75" customHeight="1" x14ac:dyDescent="0.25"/>
    <row r="382" ht="12.75" customHeight="1" x14ac:dyDescent="0.25"/>
    <row r="383" ht="12.75" customHeight="1" x14ac:dyDescent="0.25"/>
    <row r="38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  <row r="597" ht="12.75" customHeight="1" x14ac:dyDescent="0.25"/>
    <row r="598" ht="12.75" customHeight="1" x14ac:dyDescent="0.25"/>
    <row r="599" ht="12.75" customHeight="1" x14ac:dyDescent="0.25"/>
    <row r="600" ht="12.75" customHeight="1" x14ac:dyDescent="0.25"/>
    <row r="601" ht="12.75" customHeight="1" x14ac:dyDescent="0.25"/>
    <row r="602" ht="12.75" customHeight="1" x14ac:dyDescent="0.25"/>
    <row r="603" ht="12.75" customHeight="1" x14ac:dyDescent="0.25"/>
    <row r="604" ht="12.75" customHeight="1" x14ac:dyDescent="0.25"/>
    <row r="605" ht="12.75" customHeight="1" x14ac:dyDescent="0.25"/>
    <row r="606" ht="12.75" customHeight="1" x14ac:dyDescent="0.25"/>
    <row r="607" ht="12.75" customHeight="1" x14ac:dyDescent="0.25"/>
    <row r="608" ht="12.75" customHeight="1" x14ac:dyDescent="0.25"/>
    <row r="609" ht="12.75" customHeight="1" x14ac:dyDescent="0.25"/>
    <row r="610" ht="12.75" customHeight="1" x14ac:dyDescent="0.25"/>
    <row r="611" ht="12.75" customHeight="1" x14ac:dyDescent="0.25"/>
    <row r="612" ht="12.75" customHeight="1" x14ac:dyDescent="0.25"/>
    <row r="613" ht="12.75" customHeight="1" x14ac:dyDescent="0.25"/>
    <row r="614" ht="12.75" customHeight="1" x14ac:dyDescent="0.25"/>
    <row r="615" ht="12.75" customHeight="1" x14ac:dyDescent="0.25"/>
    <row r="616" ht="12.75" customHeight="1" x14ac:dyDescent="0.25"/>
    <row r="617" ht="12.75" customHeight="1" x14ac:dyDescent="0.25"/>
    <row r="618" ht="12.75" customHeight="1" x14ac:dyDescent="0.25"/>
    <row r="619" ht="12.75" customHeight="1" x14ac:dyDescent="0.25"/>
    <row r="620" ht="12.75" customHeight="1" x14ac:dyDescent="0.25"/>
    <row r="621" ht="12.75" customHeight="1" x14ac:dyDescent="0.25"/>
    <row r="622" ht="12.75" customHeight="1" x14ac:dyDescent="0.25"/>
    <row r="623" ht="12.75" customHeight="1" x14ac:dyDescent="0.25"/>
    <row r="624" ht="12.75" customHeight="1" x14ac:dyDescent="0.25"/>
    <row r="625" ht="12.75" customHeight="1" x14ac:dyDescent="0.25"/>
    <row r="626" ht="12.75" customHeight="1" x14ac:dyDescent="0.25"/>
    <row r="627" ht="12.75" customHeight="1" x14ac:dyDescent="0.25"/>
    <row r="628" ht="12.75" customHeight="1" x14ac:dyDescent="0.25"/>
    <row r="629" ht="12.75" customHeight="1" x14ac:dyDescent="0.25"/>
    <row r="630" ht="12.75" customHeight="1" x14ac:dyDescent="0.25"/>
    <row r="631" ht="12.75" customHeight="1" x14ac:dyDescent="0.25"/>
    <row r="632" ht="12.75" customHeight="1" x14ac:dyDescent="0.25"/>
    <row r="633" ht="12.75" customHeight="1" x14ac:dyDescent="0.25"/>
    <row r="634" ht="12.75" customHeight="1" x14ac:dyDescent="0.25"/>
    <row r="635" ht="12.75" customHeight="1" x14ac:dyDescent="0.25"/>
    <row r="636" ht="12.75" customHeight="1" x14ac:dyDescent="0.25"/>
    <row r="637" ht="12.75" customHeight="1" x14ac:dyDescent="0.25"/>
    <row r="638" ht="12.75" customHeight="1" x14ac:dyDescent="0.25"/>
    <row r="639" ht="12.75" customHeight="1" x14ac:dyDescent="0.25"/>
    <row r="640" ht="12.75" customHeight="1" x14ac:dyDescent="0.25"/>
    <row r="641" ht="12.75" customHeight="1" x14ac:dyDescent="0.25"/>
    <row r="642" ht="12.75" customHeight="1" x14ac:dyDescent="0.25"/>
    <row r="643" ht="12.75" customHeight="1" x14ac:dyDescent="0.25"/>
    <row r="644" ht="12.75" customHeight="1" x14ac:dyDescent="0.25"/>
    <row r="645" ht="12.75" customHeight="1" x14ac:dyDescent="0.25"/>
    <row r="646" ht="12.75" customHeight="1" x14ac:dyDescent="0.25"/>
    <row r="647" ht="12.75" customHeight="1" x14ac:dyDescent="0.25"/>
    <row r="648" ht="12.75" customHeight="1" x14ac:dyDescent="0.25"/>
    <row r="649" ht="12.75" customHeight="1" x14ac:dyDescent="0.25"/>
    <row r="650" ht="12.75" customHeight="1" x14ac:dyDescent="0.25"/>
    <row r="651" ht="12.75" customHeight="1" x14ac:dyDescent="0.25"/>
    <row r="652" ht="12.75" customHeight="1" x14ac:dyDescent="0.25"/>
    <row r="653" ht="12.75" customHeight="1" x14ac:dyDescent="0.25"/>
    <row r="654" ht="12.75" customHeight="1" x14ac:dyDescent="0.25"/>
    <row r="655" ht="12.75" customHeight="1" x14ac:dyDescent="0.25"/>
    <row r="656" ht="12.75" customHeight="1" x14ac:dyDescent="0.25"/>
    <row r="657" ht="12.75" customHeight="1" x14ac:dyDescent="0.25"/>
    <row r="658" ht="12.75" customHeight="1" x14ac:dyDescent="0.25"/>
    <row r="659" ht="12.75" customHeight="1" x14ac:dyDescent="0.25"/>
    <row r="660" ht="12.75" customHeight="1" x14ac:dyDescent="0.25"/>
    <row r="661" ht="12.75" customHeight="1" x14ac:dyDescent="0.25"/>
    <row r="662" ht="12.75" customHeight="1" x14ac:dyDescent="0.25"/>
    <row r="663" ht="12.75" customHeight="1" x14ac:dyDescent="0.25"/>
    <row r="664" ht="12.75" customHeight="1" x14ac:dyDescent="0.25"/>
    <row r="665" ht="12.75" customHeight="1" x14ac:dyDescent="0.25"/>
    <row r="666" ht="12.75" customHeight="1" x14ac:dyDescent="0.25"/>
    <row r="667" ht="12.75" customHeight="1" x14ac:dyDescent="0.25"/>
    <row r="668" ht="12.75" customHeight="1" x14ac:dyDescent="0.25"/>
    <row r="669" ht="12.75" customHeight="1" x14ac:dyDescent="0.25"/>
    <row r="670" ht="12.75" customHeight="1" x14ac:dyDescent="0.25"/>
    <row r="671" ht="12.75" customHeight="1" x14ac:dyDescent="0.25"/>
    <row r="672" ht="12.75" customHeight="1" x14ac:dyDescent="0.25"/>
    <row r="673" ht="12.75" customHeight="1" x14ac:dyDescent="0.25"/>
    <row r="674" ht="12.75" customHeight="1" x14ac:dyDescent="0.25"/>
    <row r="675" ht="12.75" customHeight="1" x14ac:dyDescent="0.25"/>
    <row r="676" ht="12.75" customHeight="1" x14ac:dyDescent="0.25"/>
    <row r="677" ht="12.75" customHeight="1" x14ac:dyDescent="0.25"/>
    <row r="678" ht="12.75" customHeight="1" x14ac:dyDescent="0.25"/>
    <row r="679" ht="12.75" customHeight="1" x14ac:dyDescent="0.25"/>
    <row r="680" ht="12.75" customHeight="1" x14ac:dyDescent="0.25"/>
    <row r="681" ht="12.75" customHeight="1" x14ac:dyDescent="0.25"/>
    <row r="682" ht="12.75" customHeight="1" x14ac:dyDescent="0.25"/>
    <row r="683" ht="12.75" customHeight="1" x14ac:dyDescent="0.25"/>
    <row r="684" ht="12.75" customHeight="1" x14ac:dyDescent="0.25"/>
    <row r="685" ht="12.75" customHeight="1" x14ac:dyDescent="0.25"/>
    <row r="686" ht="12.75" customHeight="1" x14ac:dyDescent="0.25"/>
    <row r="687" ht="12.75" customHeight="1" x14ac:dyDescent="0.25"/>
    <row r="688" ht="12.75" customHeight="1" x14ac:dyDescent="0.25"/>
    <row r="689" ht="12.75" customHeight="1" x14ac:dyDescent="0.25"/>
    <row r="690" ht="12.75" customHeight="1" x14ac:dyDescent="0.25"/>
    <row r="691" ht="12.75" customHeight="1" x14ac:dyDescent="0.25"/>
    <row r="692" ht="12.75" customHeight="1" x14ac:dyDescent="0.25"/>
    <row r="693" ht="12.75" customHeight="1" x14ac:dyDescent="0.25"/>
    <row r="694" ht="12.75" customHeight="1" x14ac:dyDescent="0.25"/>
    <row r="695" ht="12.75" customHeight="1" x14ac:dyDescent="0.25"/>
    <row r="696" ht="12.75" customHeight="1" x14ac:dyDescent="0.25"/>
    <row r="697" ht="12.75" customHeight="1" x14ac:dyDescent="0.25"/>
    <row r="698" ht="12.75" customHeight="1" x14ac:dyDescent="0.25"/>
    <row r="699" ht="12.75" customHeight="1" x14ac:dyDescent="0.25"/>
    <row r="700" ht="12.75" customHeight="1" x14ac:dyDescent="0.25"/>
    <row r="701" ht="12.75" customHeight="1" x14ac:dyDescent="0.25"/>
    <row r="702" ht="12.75" customHeight="1" x14ac:dyDescent="0.25"/>
    <row r="703" ht="12.75" customHeight="1" x14ac:dyDescent="0.25"/>
    <row r="704" ht="12.75" customHeight="1" x14ac:dyDescent="0.25"/>
    <row r="705" ht="12.75" customHeight="1" x14ac:dyDescent="0.25"/>
    <row r="706" ht="12.75" customHeight="1" x14ac:dyDescent="0.25"/>
    <row r="707" ht="12.75" customHeight="1" x14ac:dyDescent="0.25"/>
    <row r="708" ht="12.75" customHeight="1" x14ac:dyDescent="0.25"/>
    <row r="709" ht="12.75" customHeight="1" x14ac:dyDescent="0.25"/>
    <row r="710" ht="12.75" customHeight="1" x14ac:dyDescent="0.25"/>
    <row r="711" ht="12.75" customHeight="1" x14ac:dyDescent="0.25"/>
    <row r="712" ht="12.75" customHeight="1" x14ac:dyDescent="0.25"/>
    <row r="713" ht="12.75" customHeight="1" x14ac:dyDescent="0.25"/>
    <row r="714" ht="12.75" customHeight="1" x14ac:dyDescent="0.25"/>
    <row r="715" ht="12.75" customHeight="1" x14ac:dyDescent="0.25"/>
    <row r="716" ht="12.75" customHeight="1" x14ac:dyDescent="0.25"/>
    <row r="717" ht="12.75" customHeight="1" x14ac:dyDescent="0.25"/>
    <row r="718" ht="12.75" customHeight="1" x14ac:dyDescent="0.25"/>
    <row r="719" ht="12.75" customHeight="1" x14ac:dyDescent="0.25"/>
    <row r="720" ht="12.75" customHeight="1" x14ac:dyDescent="0.25"/>
    <row r="721" ht="12.75" customHeight="1" x14ac:dyDescent="0.25"/>
    <row r="722" ht="12.75" customHeight="1" x14ac:dyDescent="0.25"/>
    <row r="723" ht="12.75" customHeight="1" x14ac:dyDescent="0.25"/>
    <row r="724" ht="12.75" customHeight="1" x14ac:dyDescent="0.25"/>
    <row r="725" ht="12.75" customHeight="1" x14ac:dyDescent="0.25"/>
    <row r="726" ht="12.75" customHeight="1" x14ac:dyDescent="0.25"/>
    <row r="727" ht="12.75" customHeight="1" x14ac:dyDescent="0.25"/>
    <row r="728" ht="12.75" customHeight="1" x14ac:dyDescent="0.25"/>
    <row r="729" ht="12.75" customHeight="1" x14ac:dyDescent="0.25"/>
    <row r="730" ht="12.75" customHeight="1" x14ac:dyDescent="0.25"/>
    <row r="731" ht="12.75" customHeight="1" x14ac:dyDescent="0.25"/>
    <row r="732" ht="12.75" customHeight="1" x14ac:dyDescent="0.25"/>
    <row r="733" ht="12.75" customHeight="1" x14ac:dyDescent="0.25"/>
    <row r="734" ht="12.75" customHeight="1" x14ac:dyDescent="0.25"/>
    <row r="735" ht="12.75" customHeight="1" x14ac:dyDescent="0.25"/>
    <row r="736" ht="12.75" customHeight="1" x14ac:dyDescent="0.25"/>
    <row r="737" ht="12.75" customHeight="1" x14ac:dyDescent="0.25"/>
    <row r="738" ht="12.75" customHeight="1" x14ac:dyDescent="0.25"/>
    <row r="739" ht="12.75" customHeight="1" x14ac:dyDescent="0.25"/>
    <row r="740" ht="12.75" customHeight="1" x14ac:dyDescent="0.25"/>
    <row r="741" ht="12.75" customHeight="1" x14ac:dyDescent="0.25"/>
    <row r="742" ht="12.75" customHeight="1" x14ac:dyDescent="0.25"/>
    <row r="743" ht="12.75" customHeight="1" x14ac:dyDescent="0.25"/>
    <row r="744" ht="12.75" customHeight="1" x14ac:dyDescent="0.25"/>
    <row r="745" ht="12.75" customHeight="1" x14ac:dyDescent="0.25"/>
    <row r="746" ht="12.75" customHeight="1" x14ac:dyDescent="0.25"/>
    <row r="747" ht="12.75" customHeight="1" x14ac:dyDescent="0.25"/>
    <row r="748" ht="12.75" customHeight="1" x14ac:dyDescent="0.25"/>
    <row r="749" ht="12.75" customHeight="1" x14ac:dyDescent="0.25"/>
    <row r="750" ht="12.75" customHeight="1" x14ac:dyDescent="0.25"/>
    <row r="751" ht="12.75" customHeight="1" x14ac:dyDescent="0.25"/>
    <row r="752" ht="12.75" customHeight="1" x14ac:dyDescent="0.25"/>
    <row r="753" ht="12.75" customHeight="1" x14ac:dyDescent="0.25"/>
    <row r="754" ht="12.75" customHeight="1" x14ac:dyDescent="0.25"/>
    <row r="755" ht="12.75" customHeight="1" x14ac:dyDescent="0.25"/>
    <row r="756" ht="12.75" customHeight="1" x14ac:dyDescent="0.25"/>
    <row r="757" ht="12.75" customHeight="1" x14ac:dyDescent="0.25"/>
    <row r="758" ht="12.75" customHeight="1" x14ac:dyDescent="0.25"/>
    <row r="759" ht="12.75" customHeight="1" x14ac:dyDescent="0.25"/>
    <row r="760" ht="12.75" customHeight="1" x14ac:dyDescent="0.25"/>
    <row r="761" ht="12.75" customHeight="1" x14ac:dyDescent="0.25"/>
    <row r="762" ht="12.75" customHeight="1" x14ac:dyDescent="0.25"/>
    <row r="763" ht="12.75" customHeight="1" x14ac:dyDescent="0.25"/>
    <row r="764" ht="12.75" customHeight="1" x14ac:dyDescent="0.25"/>
    <row r="765" ht="12.75" customHeight="1" x14ac:dyDescent="0.25"/>
    <row r="766" ht="12.75" customHeight="1" x14ac:dyDescent="0.25"/>
    <row r="767" ht="12.75" customHeight="1" x14ac:dyDescent="0.25"/>
    <row r="768" ht="12.75" customHeight="1" x14ac:dyDescent="0.25"/>
    <row r="769" ht="12.75" customHeight="1" x14ac:dyDescent="0.25"/>
    <row r="770" ht="12.75" customHeight="1" x14ac:dyDescent="0.25"/>
    <row r="771" ht="12.75" customHeight="1" x14ac:dyDescent="0.25"/>
    <row r="772" ht="12.75" customHeight="1" x14ac:dyDescent="0.25"/>
    <row r="773" ht="12.75" customHeight="1" x14ac:dyDescent="0.25"/>
    <row r="774" ht="12.75" customHeight="1" x14ac:dyDescent="0.25"/>
    <row r="775" ht="12.75" customHeight="1" x14ac:dyDescent="0.25"/>
    <row r="776" ht="12.75" customHeight="1" x14ac:dyDescent="0.25"/>
    <row r="777" ht="12.75" customHeight="1" x14ac:dyDescent="0.25"/>
    <row r="778" ht="12.75" customHeight="1" x14ac:dyDescent="0.25"/>
    <row r="779" ht="12.75" customHeight="1" x14ac:dyDescent="0.25"/>
    <row r="780" ht="12.75" customHeight="1" x14ac:dyDescent="0.25"/>
    <row r="781" ht="12.75" customHeight="1" x14ac:dyDescent="0.25"/>
    <row r="782" ht="12.75" customHeight="1" x14ac:dyDescent="0.25"/>
    <row r="783" ht="12.75" customHeight="1" x14ac:dyDescent="0.25"/>
    <row r="784" ht="12.75" customHeight="1" x14ac:dyDescent="0.25"/>
    <row r="785" ht="12.75" customHeight="1" x14ac:dyDescent="0.25"/>
    <row r="786" ht="12.75" customHeight="1" x14ac:dyDescent="0.25"/>
    <row r="787" ht="12.75" customHeight="1" x14ac:dyDescent="0.25"/>
    <row r="788" ht="12.75" customHeight="1" x14ac:dyDescent="0.25"/>
    <row r="789" ht="12.75" customHeight="1" x14ac:dyDescent="0.25"/>
    <row r="790" ht="12.75" customHeight="1" x14ac:dyDescent="0.25"/>
    <row r="791" ht="12.75" customHeight="1" x14ac:dyDescent="0.25"/>
    <row r="792" ht="12.75" customHeight="1" x14ac:dyDescent="0.25"/>
    <row r="793" ht="12.75" customHeight="1" x14ac:dyDescent="0.25"/>
    <row r="794" ht="12.75" customHeight="1" x14ac:dyDescent="0.25"/>
    <row r="795" ht="12.75" customHeight="1" x14ac:dyDescent="0.25"/>
    <row r="796" ht="12.75" customHeight="1" x14ac:dyDescent="0.25"/>
    <row r="797" ht="12.75" customHeight="1" x14ac:dyDescent="0.25"/>
    <row r="798" ht="12.75" customHeight="1" x14ac:dyDescent="0.25"/>
    <row r="799" ht="12.75" customHeight="1" x14ac:dyDescent="0.25"/>
    <row r="800" ht="12.75" customHeight="1" x14ac:dyDescent="0.25"/>
    <row r="801" ht="12.75" customHeight="1" x14ac:dyDescent="0.25"/>
    <row r="802" ht="12.75" customHeight="1" x14ac:dyDescent="0.25"/>
    <row r="803" ht="12.75" customHeight="1" x14ac:dyDescent="0.25"/>
    <row r="804" ht="12.75" customHeight="1" x14ac:dyDescent="0.25"/>
    <row r="805" ht="12.75" customHeight="1" x14ac:dyDescent="0.25"/>
    <row r="806" ht="12.75" customHeight="1" x14ac:dyDescent="0.25"/>
    <row r="807" ht="12.75" customHeight="1" x14ac:dyDescent="0.25"/>
    <row r="808" ht="12.75" customHeight="1" x14ac:dyDescent="0.25"/>
    <row r="809" ht="12.75" customHeight="1" x14ac:dyDescent="0.25"/>
    <row r="810" ht="12.75" customHeight="1" x14ac:dyDescent="0.25"/>
    <row r="811" ht="12.75" customHeight="1" x14ac:dyDescent="0.25"/>
    <row r="812" ht="12.75" customHeight="1" x14ac:dyDescent="0.25"/>
    <row r="813" ht="12.75" customHeight="1" x14ac:dyDescent="0.25"/>
    <row r="814" ht="12.75" customHeight="1" x14ac:dyDescent="0.25"/>
    <row r="815" ht="12.75" customHeight="1" x14ac:dyDescent="0.25"/>
    <row r="816" ht="12.75" customHeight="1" x14ac:dyDescent="0.25"/>
    <row r="817" ht="12.75" customHeight="1" x14ac:dyDescent="0.25"/>
    <row r="818" ht="12.75" customHeight="1" x14ac:dyDescent="0.25"/>
    <row r="819" ht="12.75" customHeight="1" x14ac:dyDescent="0.25"/>
    <row r="820" ht="12.75" customHeight="1" x14ac:dyDescent="0.25"/>
    <row r="821" ht="12.75" customHeight="1" x14ac:dyDescent="0.25"/>
    <row r="822" ht="12.75" customHeight="1" x14ac:dyDescent="0.25"/>
    <row r="823" ht="12.75" customHeight="1" x14ac:dyDescent="0.25"/>
    <row r="824" ht="12.75" customHeight="1" x14ac:dyDescent="0.25"/>
    <row r="825" ht="12.75" customHeight="1" x14ac:dyDescent="0.25"/>
    <row r="826" ht="12.75" customHeight="1" x14ac:dyDescent="0.25"/>
    <row r="827" ht="12.75" customHeight="1" x14ac:dyDescent="0.25"/>
    <row r="828" ht="12.75" customHeight="1" x14ac:dyDescent="0.25"/>
    <row r="829" ht="12.75" customHeight="1" x14ac:dyDescent="0.25"/>
    <row r="830" ht="12.75" customHeight="1" x14ac:dyDescent="0.25"/>
    <row r="831" ht="12.75" customHeight="1" x14ac:dyDescent="0.25"/>
    <row r="832" ht="12.75" customHeight="1" x14ac:dyDescent="0.25"/>
    <row r="833" ht="12.75" customHeight="1" x14ac:dyDescent="0.25"/>
    <row r="834" ht="12.75" customHeight="1" x14ac:dyDescent="0.25"/>
    <row r="835" ht="12.75" customHeight="1" x14ac:dyDescent="0.25"/>
    <row r="836" ht="12.75" customHeight="1" x14ac:dyDescent="0.25"/>
    <row r="837" ht="12.75" customHeight="1" x14ac:dyDescent="0.25"/>
    <row r="838" ht="12.75" customHeight="1" x14ac:dyDescent="0.25"/>
    <row r="839" ht="12.75" customHeight="1" x14ac:dyDescent="0.25"/>
    <row r="840" ht="12.75" customHeight="1" x14ac:dyDescent="0.25"/>
    <row r="841" ht="12.75" customHeight="1" x14ac:dyDescent="0.25"/>
    <row r="842" ht="12.75" customHeight="1" x14ac:dyDescent="0.25"/>
    <row r="843" ht="12.75" customHeight="1" x14ac:dyDescent="0.25"/>
    <row r="844" ht="12.75" customHeight="1" x14ac:dyDescent="0.25"/>
    <row r="845" ht="12.75" customHeight="1" x14ac:dyDescent="0.25"/>
    <row r="846" ht="12.75" customHeight="1" x14ac:dyDescent="0.25"/>
    <row r="847" ht="12.75" customHeight="1" x14ac:dyDescent="0.25"/>
    <row r="848" ht="12.75" customHeight="1" x14ac:dyDescent="0.25"/>
    <row r="849" ht="12.75" customHeight="1" x14ac:dyDescent="0.25"/>
    <row r="850" ht="12.75" customHeight="1" x14ac:dyDescent="0.25"/>
    <row r="851" ht="12.75" customHeight="1" x14ac:dyDescent="0.25"/>
    <row r="852" ht="12.75" customHeight="1" x14ac:dyDescent="0.25"/>
    <row r="853" ht="12.75" customHeight="1" x14ac:dyDescent="0.25"/>
    <row r="854" ht="12.75" customHeight="1" x14ac:dyDescent="0.25"/>
    <row r="855" ht="12.75" customHeight="1" x14ac:dyDescent="0.25"/>
    <row r="856" ht="12.75" customHeight="1" x14ac:dyDescent="0.25"/>
    <row r="857" ht="12.75" customHeight="1" x14ac:dyDescent="0.25"/>
    <row r="858" ht="12.75" customHeight="1" x14ac:dyDescent="0.25"/>
    <row r="859" ht="12.75" customHeight="1" x14ac:dyDescent="0.25"/>
    <row r="860" ht="12.75" customHeight="1" x14ac:dyDescent="0.25"/>
    <row r="861" ht="12.75" customHeight="1" x14ac:dyDescent="0.25"/>
    <row r="862" ht="12.75" customHeight="1" x14ac:dyDescent="0.25"/>
    <row r="863" ht="12.75" customHeight="1" x14ac:dyDescent="0.25"/>
    <row r="864" ht="12.75" customHeight="1" x14ac:dyDescent="0.25"/>
    <row r="865" ht="12.75" customHeight="1" x14ac:dyDescent="0.25"/>
    <row r="866" ht="12.75" customHeight="1" x14ac:dyDescent="0.25"/>
    <row r="867" ht="12.75" customHeight="1" x14ac:dyDescent="0.25"/>
    <row r="868" ht="12.75" customHeight="1" x14ac:dyDescent="0.25"/>
    <row r="869" ht="12.75" customHeight="1" x14ac:dyDescent="0.25"/>
    <row r="870" ht="12.75" customHeight="1" x14ac:dyDescent="0.25"/>
    <row r="871" ht="12.75" customHeight="1" x14ac:dyDescent="0.25"/>
    <row r="872" ht="12.75" customHeight="1" x14ac:dyDescent="0.25"/>
    <row r="873" ht="12.75" customHeight="1" x14ac:dyDescent="0.25"/>
    <row r="874" ht="12.75" customHeight="1" x14ac:dyDescent="0.25"/>
    <row r="875" ht="12.75" customHeight="1" x14ac:dyDescent="0.25"/>
    <row r="876" ht="12.75" customHeight="1" x14ac:dyDescent="0.25"/>
    <row r="877" ht="12.75" customHeight="1" x14ac:dyDescent="0.25"/>
    <row r="878" ht="12.75" customHeight="1" x14ac:dyDescent="0.25"/>
    <row r="879" ht="12.75" customHeight="1" x14ac:dyDescent="0.25"/>
    <row r="880" ht="12.75" customHeight="1" x14ac:dyDescent="0.25"/>
    <row r="881" ht="12.75" customHeight="1" x14ac:dyDescent="0.25"/>
    <row r="882" ht="12.75" customHeight="1" x14ac:dyDescent="0.25"/>
    <row r="883" ht="12.75" customHeight="1" x14ac:dyDescent="0.25"/>
    <row r="884" ht="12.75" customHeight="1" x14ac:dyDescent="0.25"/>
    <row r="885" ht="12.75" customHeight="1" x14ac:dyDescent="0.25"/>
    <row r="886" ht="12.75" customHeight="1" x14ac:dyDescent="0.25"/>
    <row r="887" ht="12.75" customHeight="1" x14ac:dyDescent="0.25"/>
    <row r="888" ht="12.75" customHeight="1" x14ac:dyDescent="0.25"/>
    <row r="889" ht="12.75" customHeight="1" x14ac:dyDescent="0.25"/>
    <row r="890" ht="12.75" customHeight="1" x14ac:dyDescent="0.25"/>
    <row r="891" ht="12.75" customHeight="1" x14ac:dyDescent="0.25"/>
    <row r="892" ht="12.75" customHeight="1" x14ac:dyDescent="0.25"/>
    <row r="893" ht="12.75" customHeight="1" x14ac:dyDescent="0.25"/>
    <row r="894" ht="12.75" customHeight="1" x14ac:dyDescent="0.25"/>
    <row r="895" ht="12.75" customHeight="1" x14ac:dyDescent="0.25"/>
    <row r="896" ht="12.75" customHeight="1" x14ac:dyDescent="0.25"/>
    <row r="897" ht="12.75" customHeight="1" x14ac:dyDescent="0.25"/>
    <row r="898" ht="12.75" customHeight="1" x14ac:dyDescent="0.25"/>
    <row r="899" ht="12.75" customHeight="1" x14ac:dyDescent="0.25"/>
    <row r="900" ht="12.75" customHeight="1" x14ac:dyDescent="0.25"/>
    <row r="901" ht="12.75" customHeight="1" x14ac:dyDescent="0.25"/>
    <row r="902" ht="12.75" customHeight="1" x14ac:dyDescent="0.25"/>
    <row r="903" ht="12.75" customHeight="1" x14ac:dyDescent="0.25"/>
    <row r="904" ht="12.75" customHeight="1" x14ac:dyDescent="0.25"/>
    <row r="905" ht="12.75" customHeight="1" x14ac:dyDescent="0.25"/>
    <row r="906" ht="12.75" customHeight="1" x14ac:dyDescent="0.25"/>
    <row r="907" ht="12.75" customHeight="1" x14ac:dyDescent="0.25"/>
    <row r="908" ht="12.75" customHeight="1" x14ac:dyDescent="0.25"/>
    <row r="909" ht="12.75" customHeight="1" x14ac:dyDescent="0.25"/>
    <row r="910" ht="12.75" customHeight="1" x14ac:dyDescent="0.25"/>
    <row r="911" ht="12.75" customHeight="1" x14ac:dyDescent="0.25"/>
    <row r="912" ht="12.75" customHeight="1" x14ac:dyDescent="0.25"/>
    <row r="913" ht="12.75" customHeight="1" x14ac:dyDescent="0.25"/>
    <row r="914" ht="12.75" customHeight="1" x14ac:dyDescent="0.25"/>
    <row r="915" ht="12.75" customHeight="1" x14ac:dyDescent="0.25"/>
    <row r="916" ht="12.75" customHeight="1" x14ac:dyDescent="0.25"/>
    <row r="917" ht="12.75" customHeight="1" x14ac:dyDescent="0.25"/>
    <row r="918" ht="12.75" customHeight="1" x14ac:dyDescent="0.25"/>
    <row r="919" ht="12.75" customHeight="1" x14ac:dyDescent="0.25"/>
    <row r="920" ht="12.75" customHeight="1" x14ac:dyDescent="0.25"/>
    <row r="921" ht="12.75" customHeight="1" x14ac:dyDescent="0.25"/>
    <row r="922" ht="12.75" customHeight="1" x14ac:dyDescent="0.25"/>
    <row r="923" ht="12.75" customHeight="1" x14ac:dyDescent="0.25"/>
    <row r="924" ht="12.75" customHeight="1" x14ac:dyDescent="0.25"/>
    <row r="925" ht="12.75" customHeight="1" x14ac:dyDescent="0.25"/>
    <row r="926" ht="12.75" customHeight="1" x14ac:dyDescent="0.25"/>
    <row r="927" ht="12.75" customHeight="1" x14ac:dyDescent="0.25"/>
    <row r="928" ht="12.75" customHeight="1" x14ac:dyDescent="0.25"/>
    <row r="929" ht="12.75" customHeight="1" x14ac:dyDescent="0.25"/>
    <row r="930" ht="12.75" customHeight="1" x14ac:dyDescent="0.25"/>
    <row r="931" ht="12.75" customHeight="1" x14ac:dyDescent="0.25"/>
    <row r="932" ht="12.75" customHeight="1" x14ac:dyDescent="0.25"/>
    <row r="933" ht="12.75" customHeight="1" x14ac:dyDescent="0.25"/>
    <row r="934" ht="12.75" customHeight="1" x14ac:dyDescent="0.25"/>
    <row r="935" ht="12.75" customHeight="1" x14ac:dyDescent="0.25"/>
    <row r="936" ht="12.75" customHeight="1" x14ac:dyDescent="0.25"/>
    <row r="937" ht="12.75" customHeight="1" x14ac:dyDescent="0.25"/>
    <row r="938" ht="12.75" customHeight="1" x14ac:dyDescent="0.25"/>
    <row r="939" ht="12.75" customHeight="1" x14ac:dyDescent="0.25"/>
    <row r="940" ht="12.75" customHeight="1" x14ac:dyDescent="0.25"/>
    <row r="941" ht="12.75" customHeight="1" x14ac:dyDescent="0.25"/>
    <row r="942" ht="12.75" customHeight="1" x14ac:dyDescent="0.25"/>
    <row r="943" ht="12.75" customHeight="1" x14ac:dyDescent="0.25"/>
    <row r="944" ht="12.75" customHeight="1" x14ac:dyDescent="0.25"/>
    <row r="945" ht="12.75" customHeight="1" x14ac:dyDescent="0.25"/>
    <row r="946" ht="12.75" customHeight="1" x14ac:dyDescent="0.25"/>
    <row r="947" ht="12.75" customHeight="1" x14ac:dyDescent="0.25"/>
    <row r="948" ht="12.75" customHeight="1" x14ac:dyDescent="0.25"/>
    <row r="949" ht="12.75" customHeight="1" x14ac:dyDescent="0.25"/>
    <row r="950" ht="12.75" customHeight="1" x14ac:dyDescent="0.25"/>
    <row r="951" ht="12.75" customHeight="1" x14ac:dyDescent="0.25"/>
    <row r="952" ht="12.75" customHeight="1" x14ac:dyDescent="0.25"/>
    <row r="953" ht="12.75" customHeight="1" x14ac:dyDescent="0.25"/>
    <row r="954" ht="12.75" customHeight="1" x14ac:dyDescent="0.25"/>
    <row r="955" ht="12.75" customHeight="1" x14ac:dyDescent="0.25"/>
    <row r="956" ht="12.75" customHeight="1" x14ac:dyDescent="0.25"/>
    <row r="957" ht="12.75" customHeight="1" x14ac:dyDescent="0.25"/>
    <row r="958" ht="12.75" customHeight="1" x14ac:dyDescent="0.25"/>
    <row r="959" ht="12.75" customHeight="1" x14ac:dyDescent="0.25"/>
    <row r="960" ht="12.75" customHeight="1" x14ac:dyDescent="0.25"/>
    <row r="961" ht="12.75" customHeight="1" x14ac:dyDescent="0.25"/>
    <row r="962" ht="12.75" customHeight="1" x14ac:dyDescent="0.25"/>
    <row r="963" ht="12.75" customHeight="1" x14ac:dyDescent="0.25"/>
    <row r="964" ht="12.75" customHeight="1" x14ac:dyDescent="0.25"/>
    <row r="965" ht="12.75" customHeight="1" x14ac:dyDescent="0.25"/>
    <row r="966" ht="12.75" customHeight="1" x14ac:dyDescent="0.25"/>
    <row r="967" ht="12.75" customHeight="1" x14ac:dyDescent="0.25"/>
    <row r="968" ht="12.75" customHeight="1" x14ac:dyDescent="0.25"/>
    <row r="969" ht="12.75" customHeight="1" x14ac:dyDescent="0.25"/>
    <row r="970" ht="12.75" customHeight="1" x14ac:dyDescent="0.25"/>
    <row r="971" ht="12.75" customHeight="1" x14ac:dyDescent="0.25"/>
    <row r="972" ht="12.75" customHeight="1" x14ac:dyDescent="0.25"/>
    <row r="973" ht="12.75" customHeight="1" x14ac:dyDescent="0.25"/>
    <row r="974" ht="12.75" customHeight="1" x14ac:dyDescent="0.25"/>
    <row r="975" ht="12.75" customHeight="1" x14ac:dyDescent="0.25"/>
    <row r="976" ht="12.75" customHeight="1" x14ac:dyDescent="0.25"/>
    <row r="977" ht="12.75" customHeight="1" x14ac:dyDescent="0.25"/>
    <row r="978" ht="12.75" customHeight="1" x14ac:dyDescent="0.25"/>
    <row r="979" ht="12.75" customHeight="1" x14ac:dyDescent="0.25"/>
    <row r="980" ht="12.75" customHeight="1" x14ac:dyDescent="0.25"/>
    <row r="981" ht="12.75" customHeight="1" x14ac:dyDescent="0.25"/>
    <row r="982" ht="12.75" customHeight="1" x14ac:dyDescent="0.25"/>
    <row r="983" ht="12.75" customHeight="1" x14ac:dyDescent="0.25"/>
    <row r="984" ht="12.75" customHeight="1" x14ac:dyDescent="0.25"/>
    <row r="985" ht="12.75" customHeight="1" x14ac:dyDescent="0.25"/>
    <row r="986" ht="12.75" customHeight="1" x14ac:dyDescent="0.25"/>
    <row r="987" ht="12.75" customHeight="1" x14ac:dyDescent="0.25"/>
    <row r="988" ht="12.75" customHeight="1" x14ac:dyDescent="0.25"/>
    <row r="989" ht="12.75" customHeight="1" x14ac:dyDescent="0.25"/>
    <row r="990" ht="12.75" customHeight="1" x14ac:dyDescent="0.25"/>
    <row r="991" ht="12.75" customHeight="1" x14ac:dyDescent="0.25"/>
    <row r="992" ht="12.75" customHeight="1" x14ac:dyDescent="0.25"/>
    <row r="993" ht="12.75" customHeight="1" x14ac:dyDescent="0.25"/>
    <row r="994" ht="12.75" customHeight="1" x14ac:dyDescent="0.25"/>
    <row r="995" ht="12.75" customHeight="1" x14ac:dyDescent="0.25"/>
    <row r="996" ht="12.75" customHeight="1" x14ac:dyDescent="0.25"/>
    <row r="997" ht="12.75" customHeight="1" x14ac:dyDescent="0.25"/>
    <row r="998" ht="12.75" customHeight="1" x14ac:dyDescent="0.25"/>
    <row r="999" ht="12.75" customHeight="1" x14ac:dyDescent="0.25"/>
    <row r="1000" ht="12.75" customHeight="1" x14ac:dyDescent="0.25"/>
    <row r="1001" ht="12.75" customHeight="1" x14ac:dyDescent="0.25"/>
  </sheetData>
  <sheetProtection sheet="1" objects="1" scenarios="1"/>
  <mergeCells count="4">
    <mergeCell ref="B3:E3"/>
    <mergeCell ref="B15:C15"/>
    <mergeCell ref="B27:C27"/>
    <mergeCell ref="B39:C39"/>
  </mergeCells>
  <dataValidations count="4">
    <dataValidation type="decimal" allowBlank="1" showInputMessage="1" showErrorMessage="1" prompt=" - " sqref="D24" xr:uid="{00000000-0002-0000-0000-000000000000}">
      <formula1>1</formula1>
      <formula2>10</formula2>
    </dataValidation>
    <dataValidation type="decimal" allowBlank="1" showInputMessage="1" showErrorMessage="1" prompt=" - " sqref="D34 D10 D18:D19 D22 D30:D31 D7" xr:uid="{00000000-0002-0000-0000-000001000000}">
      <formula1>0</formula1>
      <formula2>10</formula2>
    </dataValidation>
    <dataValidation type="decimal" allowBlank="1" showErrorMessage="1" prompt=" - " sqref="D32:D33 D8:D9 D21" xr:uid="{00000000-0002-0000-0000-000002000000}">
      <formula1>0</formula1>
      <formula2>5</formula2>
    </dataValidation>
    <dataValidation type="decimal" allowBlank="1" showErrorMessage="1" prompt=" - " sqref="D36 D12" xr:uid="{0D00DB5F-DCD1-4386-9A19-0A1F6CB0E19B}">
      <formula1>1</formula1>
      <formula2>10</formula2>
    </dataValidation>
  </dataValidations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EE336-AE7B-4182-9716-2D1787A46FE0}">
  <dimension ref="B3:E19"/>
  <sheetViews>
    <sheetView showGridLines="0" showRowColHeaders="0" zoomScale="115" zoomScaleNormal="115" workbookViewId="0">
      <selection activeCell="C24" sqref="C24"/>
    </sheetView>
  </sheetViews>
  <sheetFormatPr defaultColWidth="8.88671875" defaultRowHeight="13.2" x14ac:dyDescent="0.25"/>
  <cols>
    <col min="1" max="1" width="5.6640625" customWidth="1"/>
    <col min="2" max="2" width="19" customWidth="1"/>
    <col min="3" max="3" width="15.33203125" customWidth="1"/>
    <col min="4" max="4" width="15" customWidth="1"/>
    <col min="5" max="5" width="15.109375" customWidth="1"/>
    <col min="6" max="9" width="8" customWidth="1"/>
  </cols>
  <sheetData>
    <row r="3" spans="2:5" ht="17.399999999999999" x14ac:dyDescent="0.3">
      <c r="B3" s="105" t="s">
        <v>31</v>
      </c>
      <c r="C3" s="18"/>
      <c r="D3" s="18"/>
      <c r="E3" s="18"/>
    </row>
    <row r="4" spans="2:5" ht="17.399999999999999" x14ac:dyDescent="0.3">
      <c r="B4" s="105"/>
      <c r="C4" s="18"/>
      <c r="D4" s="18"/>
      <c r="E4" s="18"/>
    </row>
    <row r="5" spans="2:5" x14ac:dyDescent="0.25">
      <c r="B5" s="18"/>
      <c r="C5" s="106" t="s">
        <v>32</v>
      </c>
      <c r="D5" s="106" t="s">
        <v>33</v>
      </c>
      <c r="E5" s="106"/>
    </row>
    <row r="6" spans="2:5" ht="51.6" customHeight="1" x14ac:dyDescent="0.25">
      <c r="B6" s="18"/>
      <c r="C6" s="107" t="str">
        <f>'Life Cycle Costing'!B6</f>
        <v>Nominal Building</v>
      </c>
      <c r="D6" s="107" t="str">
        <f>'Life Cycle Costing'!B18</f>
        <v>Net Zero</v>
      </c>
      <c r="E6" s="107"/>
    </row>
    <row r="7" spans="2:5" x14ac:dyDescent="0.25">
      <c r="B7" s="108" t="s">
        <v>34</v>
      </c>
      <c r="C7" s="109">
        <f>'Life Cycle Costing'!AJ6</f>
        <v>3400000</v>
      </c>
      <c r="D7" s="109">
        <f>'Life Cycle Costing'!AJ18</f>
        <v>4150000</v>
      </c>
      <c r="E7" s="110"/>
    </row>
    <row r="8" spans="2:5" x14ac:dyDescent="0.25">
      <c r="B8" s="111" t="s">
        <v>15</v>
      </c>
      <c r="C8" s="112">
        <f>'Detailed Results'!D34</f>
        <v>995937.64331825194</v>
      </c>
      <c r="D8" s="112">
        <f>'Detailed Results'!H34</f>
        <v>420460.49019735074</v>
      </c>
      <c r="E8" s="113"/>
    </row>
    <row r="9" spans="2:5" x14ac:dyDescent="0.25">
      <c r="B9" s="114" t="s">
        <v>35</v>
      </c>
      <c r="C9" s="115">
        <f>'Detailed Results'!C34</f>
        <v>479769.60795930267</v>
      </c>
      <c r="D9" s="115">
        <f>'Detailed Results'!G34</f>
        <v>0</v>
      </c>
      <c r="E9" s="116"/>
    </row>
    <row r="10" spans="2:5" x14ac:dyDescent="0.25">
      <c r="B10" s="17" t="s">
        <v>36</v>
      </c>
      <c r="C10" s="117">
        <f>'Detailed Results'!E34</f>
        <v>4875707.2512775548</v>
      </c>
      <c r="D10" s="117">
        <f>'Detailed Results'!I34</f>
        <v>4570460.4901973512</v>
      </c>
      <c r="E10" s="117"/>
    </row>
    <row r="11" spans="2:5" x14ac:dyDescent="0.25">
      <c r="B11" s="18"/>
      <c r="C11" s="18"/>
      <c r="D11" s="18"/>
      <c r="E11" s="18"/>
    </row>
    <row r="12" spans="2:5" ht="17.399999999999999" x14ac:dyDescent="0.3">
      <c r="B12" s="105" t="s">
        <v>37</v>
      </c>
      <c r="C12" s="18"/>
      <c r="D12" s="18"/>
      <c r="E12" s="18"/>
    </row>
    <row r="13" spans="2:5" x14ac:dyDescent="0.25">
      <c r="B13" s="18"/>
      <c r="C13" s="18"/>
      <c r="D13" s="18"/>
      <c r="E13" s="18"/>
    </row>
    <row r="14" spans="2:5" x14ac:dyDescent="0.25">
      <c r="B14" s="118" t="s">
        <v>38</v>
      </c>
      <c r="C14" s="18"/>
      <c r="D14" s="119">
        <f>D7-C7</f>
        <v>750000</v>
      </c>
      <c r="E14" s="18"/>
    </row>
    <row r="15" spans="2:5" x14ac:dyDescent="0.25">
      <c r="B15" s="118" t="s">
        <v>39</v>
      </c>
      <c r="C15" s="18"/>
      <c r="D15" s="119">
        <f>NPV(discrate,'Detailed Results'!P4:P33)+'Detailed Results'!P3</f>
        <v>305246.76108020404</v>
      </c>
      <c r="E15" s="18"/>
    </row>
    <row r="16" spans="2:5" x14ac:dyDescent="0.25">
      <c r="B16" s="118" t="s">
        <v>40</v>
      </c>
      <c r="C16" s="18"/>
      <c r="D16" s="120">
        <f>IRR('Detailed Results'!P3:P33,0.1)</f>
        <v>5.4538068681575957E-2</v>
      </c>
      <c r="E16" s="18"/>
    </row>
    <row r="17" spans="2:5" x14ac:dyDescent="0.25">
      <c r="B17" s="118" t="s">
        <v>41</v>
      </c>
      <c r="C17" s="18"/>
      <c r="D17" s="121">
        <f>SUM('Detailed Results'!Q4:Q33)/'Detailed Results'!Q3</f>
        <v>1.4069956814402726</v>
      </c>
      <c r="E17" s="18"/>
    </row>
    <row r="18" spans="2:5" x14ac:dyDescent="0.25">
      <c r="B18" s="18"/>
      <c r="C18" s="18"/>
      <c r="D18" s="18"/>
      <c r="E18" s="18"/>
    </row>
    <row r="19" spans="2:5" x14ac:dyDescent="0.25">
      <c r="B19" s="122" t="s">
        <v>42</v>
      </c>
      <c r="C19" s="18"/>
      <c r="D19" s="123">
        <v>30</v>
      </c>
      <c r="E19" s="18" t="s">
        <v>43</v>
      </c>
    </row>
  </sheetData>
  <sheetProtection sheet="1" objects="1" scenarios="1"/>
  <dataValidations count="1">
    <dataValidation type="whole" showErrorMessage="1" prompt=" - " sqref="D19" xr:uid="{00000000-0002-0000-0100-000000000000}">
      <formula1>1</formula1>
      <formula2>30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Q1000"/>
  <sheetViews>
    <sheetView workbookViewId="0">
      <selection activeCell="P4" sqref="P4"/>
    </sheetView>
  </sheetViews>
  <sheetFormatPr defaultColWidth="12.6640625" defaultRowHeight="15" customHeight="1" x14ac:dyDescent="0.25"/>
  <cols>
    <col min="1" max="3" width="8" customWidth="1"/>
    <col min="4" max="6" width="10.6640625" customWidth="1"/>
    <col min="7" max="7" width="8" customWidth="1"/>
    <col min="8" max="10" width="9.6640625" customWidth="1"/>
    <col min="11" max="12" width="8" customWidth="1"/>
    <col min="13" max="14" width="10" customWidth="1"/>
    <col min="15" max="15" width="8" customWidth="1"/>
    <col min="16" max="16" width="12.6640625" customWidth="1"/>
    <col min="17" max="17" width="11.6640625" customWidth="1"/>
    <col min="18" max="19" width="8" customWidth="1"/>
  </cols>
  <sheetData>
    <row r="1" spans="1:17" ht="12.75" customHeight="1" x14ac:dyDescent="0.25"/>
    <row r="2" spans="1:17" ht="25.5" customHeight="1" x14ac:dyDescent="0.25">
      <c r="C2" s="130" t="s">
        <v>32</v>
      </c>
      <c r="D2" s="131"/>
      <c r="E2" s="131"/>
      <c r="G2" s="130" t="s">
        <v>33</v>
      </c>
      <c r="H2" s="131"/>
      <c r="I2" s="131"/>
      <c r="K2" s="130" t="s">
        <v>44</v>
      </c>
      <c r="L2" s="131"/>
      <c r="M2" s="131"/>
      <c r="P2" s="13" t="s">
        <v>45</v>
      </c>
    </row>
    <row r="3" spans="1:17" ht="44.4" customHeight="1" x14ac:dyDescent="0.25">
      <c r="C3" s="14" t="s">
        <v>46</v>
      </c>
      <c r="D3" s="15" t="s">
        <v>47</v>
      </c>
      <c r="E3" s="16" t="s">
        <v>48</v>
      </c>
      <c r="F3" s="16"/>
      <c r="G3" s="14" t="s">
        <v>46</v>
      </c>
      <c r="H3" s="15" t="s">
        <v>47</v>
      </c>
      <c r="I3" s="16" t="s">
        <v>48</v>
      </c>
      <c r="J3" s="16"/>
      <c r="K3" s="14" t="s">
        <v>46</v>
      </c>
      <c r="L3" s="15" t="s">
        <v>47</v>
      </c>
      <c r="M3" s="16" t="s">
        <v>48</v>
      </c>
      <c r="N3" s="16"/>
      <c r="P3" s="11">
        <f>'Summary Results'!C7-'Summary Results'!D7</f>
        <v>-750000</v>
      </c>
      <c r="Q3" s="11">
        <f>-P3</f>
        <v>750000</v>
      </c>
    </row>
    <row r="4" spans="1:17" ht="12.75" customHeight="1" x14ac:dyDescent="0.25">
      <c r="A4" s="4">
        <v>1</v>
      </c>
      <c r="C4" s="5">
        <f t="array" ref="C4">IF($A4&gt;horizon,"",INDEX(Main,6,4+$A4))</f>
        <v>14268.800000000001</v>
      </c>
      <c r="D4" s="6">
        <f t="array" ref="D4">IF($A4&gt;horizon,"",INDEX(Main,10,4+$A4))</f>
        <v>36922.466399999998</v>
      </c>
      <c r="E4" s="7">
        <f t="array" ref="E4">IF($A4&gt;horizon,"",INDEX(Main,11,4+$A4))</f>
        <v>51191.2664</v>
      </c>
      <c r="F4" s="7">
        <f t="shared" ref="F4:F33" si="0">IF($A4&gt;horizon,"",E4/(1+discrate)^$A4)</f>
        <v>49700.258640776701</v>
      </c>
      <c r="G4" s="5">
        <f t="array" ref="G4">IF($A4&gt;horizon,"",INDEX(Main,18,4+$A4))</f>
        <v>0</v>
      </c>
      <c r="H4" s="6">
        <f t="array" ref="H4">IF($A4&gt;horizon,"",INDEX(Main,22,4+$A4))</f>
        <v>0</v>
      </c>
      <c r="I4" s="7">
        <f t="array" ref="I4">IF($A4&gt;horizon,"",INDEX(Main,23,4+$A4))</f>
        <v>0</v>
      </c>
      <c r="J4" s="7">
        <f t="shared" ref="J4:J33" si="1">IF($A4&gt;horizon,"",I4/(1+discrate)^$A4)</f>
        <v>0</v>
      </c>
      <c r="K4" s="5">
        <f t="array" ref="K4">IF($A4&gt;horizon,"",INDEX(Main,30,4+$A4))</f>
        <v>0</v>
      </c>
      <c r="L4" s="6">
        <f t="array" ref="L4">IF($A4&gt;horizon,"",INDEX(Main,34,4+$A4))</f>
        <v>0</v>
      </c>
      <c r="M4" s="7">
        <f t="array" ref="M4">IF($A4&gt;horizon,"",INDEX(Main,35,4+$A4))</f>
        <v>0</v>
      </c>
      <c r="N4" s="7">
        <f t="shared" ref="N4:N33" si="2">IF($A4&gt;horizon,"",M4/(1+discrate)^$A4)</f>
        <v>0</v>
      </c>
      <c r="P4" s="11">
        <f>IF(M4&lt;&gt;"",E4-I4,"")</f>
        <v>51191.2664</v>
      </c>
      <c r="Q4" s="11">
        <f>IF(J4&lt;&gt;"",F4-J4,"")</f>
        <v>49700.258640776701</v>
      </c>
    </row>
    <row r="5" spans="1:17" ht="12.75" customHeight="1" x14ac:dyDescent="0.25">
      <c r="A5" s="4">
        <v>2</v>
      </c>
      <c r="C5" s="5">
        <f t="array" ref="C5">IF($A5&gt;horizon,"",INDEX(Main,6,4+$A5))</f>
        <v>14839.552000000003</v>
      </c>
      <c r="D5" s="6">
        <f t="array" ref="D5">IF($A5&gt;horizon,"",INDEX(Main,10,4+$A5))</f>
        <v>37910.388599999998</v>
      </c>
      <c r="E5" s="7">
        <f t="array" ref="E5">IF($A5&gt;horizon,"",INDEX(Main,11,4+$A5))</f>
        <v>52749.940600000002</v>
      </c>
      <c r="F5" s="7">
        <f t="shared" si="0"/>
        <v>49721.878216608544</v>
      </c>
      <c r="G5" s="5">
        <f t="array" ref="G5">IF($A5&gt;horizon,"",INDEX(Main,18,4+$A5))</f>
        <v>0</v>
      </c>
      <c r="H5" s="6">
        <f t="array" ref="H5">IF($A5&gt;horizon,"",INDEX(Main,22,4+$A5))</f>
        <v>0</v>
      </c>
      <c r="I5" s="7">
        <f t="array" ref="I5">IF($A5&gt;horizon,"",INDEX(Main,23,4+$A5))</f>
        <v>0</v>
      </c>
      <c r="J5" s="7">
        <f t="shared" si="1"/>
        <v>0</v>
      </c>
      <c r="K5" s="5">
        <f t="array" ref="K5">IF($A5&gt;horizon,"",INDEX(Main,30,4+$A5))</f>
        <v>0</v>
      </c>
      <c r="L5" s="6">
        <f t="array" ref="L5">IF($A5&gt;horizon,"",INDEX(Main,34,4+$A5))</f>
        <v>0</v>
      </c>
      <c r="M5" s="7">
        <f t="array" ref="M5">IF($A5&gt;horizon,"",INDEX(Main,35,4+$A5))</f>
        <v>0</v>
      </c>
      <c r="N5" s="7">
        <f t="shared" si="2"/>
        <v>0</v>
      </c>
      <c r="P5" s="11">
        <f t="shared" ref="P5:P33" si="3">IF(M5&lt;&gt;"",E5-I5,"")</f>
        <v>52749.940600000002</v>
      </c>
      <c r="Q5" s="11">
        <f t="shared" ref="Q5:Q33" si="4">IF(J5&lt;&gt;"",F5-J5,"")</f>
        <v>49721.878216608544</v>
      </c>
    </row>
    <row r="6" spans="1:17" ht="12.75" customHeight="1" x14ac:dyDescent="0.25">
      <c r="A6" s="4">
        <v>3</v>
      </c>
      <c r="C6" s="5">
        <f t="array" ref="C6">IF($A6&gt;horizon,"",INDEX(Main,6,4+$A6))</f>
        <v>15433.134080000002</v>
      </c>
      <c r="D6" s="6">
        <f t="array" ref="D6">IF($A6&gt;horizon,"",INDEX(Main,10,4+$A6))</f>
        <v>38912.590799999998</v>
      </c>
      <c r="E6" s="7">
        <f t="array" ref="E6">IF($A6&gt;horizon,"",INDEX(Main,11,4+$A6))</f>
        <v>54345.724880000002</v>
      </c>
      <c r="F6" s="7">
        <f t="shared" si="0"/>
        <v>49734.036845433489</v>
      </c>
      <c r="G6" s="5">
        <f t="array" ref="G6">IF($A6&gt;horizon,"",INDEX(Main,18,4+$A6))</f>
        <v>0</v>
      </c>
      <c r="H6" s="6">
        <f t="array" ref="H6">IF($A6&gt;horizon,"",INDEX(Main,22,4+$A6))</f>
        <v>0</v>
      </c>
      <c r="I6" s="7">
        <f t="array" ref="I6">IF($A6&gt;horizon,"",INDEX(Main,23,4+$A6))</f>
        <v>0</v>
      </c>
      <c r="J6" s="7">
        <f t="shared" si="1"/>
        <v>0</v>
      </c>
      <c r="K6" s="5">
        <f t="array" ref="K6">IF($A6&gt;horizon,"",INDEX(Main,30,4+$A6))</f>
        <v>0</v>
      </c>
      <c r="L6" s="6">
        <f t="array" ref="L6">IF($A6&gt;horizon,"",INDEX(Main,34,4+$A6))</f>
        <v>0</v>
      </c>
      <c r="M6" s="7">
        <f t="array" ref="M6">IF($A6&gt;horizon,"",INDEX(Main,35,4+$A6))</f>
        <v>0</v>
      </c>
      <c r="N6" s="7">
        <f t="shared" si="2"/>
        <v>0</v>
      </c>
      <c r="P6" s="11">
        <f t="shared" si="3"/>
        <v>54345.724880000002</v>
      </c>
      <c r="Q6" s="11">
        <f t="shared" si="4"/>
        <v>49734.036845433489</v>
      </c>
    </row>
    <row r="7" spans="1:17" ht="12.75" customHeight="1" x14ac:dyDescent="0.25">
      <c r="A7" s="4">
        <v>4</v>
      </c>
      <c r="C7" s="5">
        <f t="array" ref="C7">IF($A7&gt;horizon,"",INDEX(Main,6,4+$A7))</f>
        <v>16050.459443200003</v>
      </c>
      <c r="D7" s="6">
        <f t="array" ref="D7">IF($A7&gt;horizon,"",INDEX(Main,10,4+$A7))</f>
        <v>39929.3586</v>
      </c>
      <c r="E7" s="7">
        <f t="array" ref="E7">IF($A7&gt;horizon,"",INDEX(Main,11,4+$A7))</f>
        <v>55979.818043200001</v>
      </c>
      <c r="F7" s="7">
        <f t="shared" si="0"/>
        <v>49737.343276060186</v>
      </c>
      <c r="G7" s="5">
        <f t="array" ref="G7">IF($A7&gt;horizon,"",INDEX(Main,18,4+$A7))</f>
        <v>0</v>
      </c>
      <c r="H7" s="6">
        <f t="array" ref="H7">IF($A7&gt;horizon,"",INDEX(Main,22,4+$A7))</f>
        <v>75770.251199999999</v>
      </c>
      <c r="I7" s="7">
        <f t="array" ref="I7">IF($A7&gt;horizon,"",INDEX(Main,23,4+$A7))</f>
        <v>75770.251199999999</v>
      </c>
      <c r="J7" s="7">
        <f t="shared" si="1"/>
        <v>67320.886808518189</v>
      </c>
      <c r="K7" s="5">
        <f t="array" ref="K7">IF($A7&gt;horizon,"",INDEX(Main,30,4+$A7))</f>
        <v>0</v>
      </c>
      <c r="L7" s="6">
        <f t="array" ref="L7">IF($A7&gt;horizon,"",INDEX(Main,34,4+$A7))</f>
        <v>0</v>
      </c>
      <c r="M7" s="7">
        <f t="array" ref="M7">IF($A7&gt;horizon,"",INDEX(Main,35,4+$A7))</f>
        <v>0</v>
      </c>
      <c r="N7" s="7">
        <f t="shared" si="2"/>
        <v>0</v>
      </c>
      <c r="P7" s="11">
        <f t="shared" si="3"/>
        <v>-19790.433156799998</v>
      </c>
      <c r="Q7" s="11">
        <f t="shared" si="4"/>
        <v>-17583.543532458003</v>
      </c>
    </row>
    <row r="8" spans="1:17" ht="12.75" customHeight="1" x14ac:dyDescent="0.25">
      <c r="A8" s="4">
        <v>5</v>
      </c>
      <c r="C8" s="5">
        <f t="array" ref="C8">IF($A8&gt;horizon,"",INDEX(Main,6,4+$A8))</f>
        <v>16692.477820928005</v>
      </c>
      <c r="D8" s="6">
        <f t="array" ref="D8">IF($A8&gt;horizon,"",INDEX(Main,10,4+$A8))</f>
        <v>40960.983312000004</v>
      </c>
      <c r="E8" s="7">
        <f t="array" ref="E8">IF($A8&gt;horizon,"",INDEX(Main,11,4+$A8))</f>
        <v>57653.461132928009</v>
      </c>
      <c r="F8" s="7">
        <f t="shared" si="0"/>
        <v>49732.382023414684</v>
      </c>
      <c r="G8" s="5">
        <f t="array" ref="G8">IF($A8&gt;horizon,"",INDEX(Main,18,4+$A8))</f>
        <v>0</v>
      </c>
      <c r="H8" s="6">
        <f t="array" ref="H8">IF($A8&gt;horizon,"",INDEX(Main,22,4+$A8))</f>
        <v>0</v>
      </c>
      <c r="I8" s="7">
        <f t="array" ref="I8">IF($A8&gt;horizon,"",INDEX(Main,23,4+$A8))</f>
        <v>0</v>
      </c>
      <c r="J8" s="7">
        <f t="shared" si="1"/>
        <v>0</v>
      </c>
      <c r="K8" s="5">
        <f t="array" ref="K8">IF($A8&gt;horizon,"",INDEX(Main,30,4+$A8))</f>
        <v>0</v>
      </c>
      <c r="L8" s="6">
        <f t="array" ref="L8">IF($A8&gt;horizon,"",INDEX(Main,34,4+$A8))</f>
        <v>0</v>
      </c>
      <c r="M8" s="7">
        <f t="array" ref="M8">IF($A8&gt;horizon,"",INDEX(Main,35,4+$A8))</f>
        <v>0</v>
      </c>
      <c r="N8" s="7">
        <f t="shared" si="2"/>
        <v>0</v>
      </c>
      <c r="P8" s="11">
        <f t="shared" si="3"/>
        <v>57653.461132928009</v>
      </c>
      <c r="Q8" s="11">
        <f t="shared" si="4"/>
        <v>49732.382023414684</v>
      </c>
    </row>
    <row r="9" spans="1:17" ht="12.75" customHeight="1" x14ac:dyDescent="0.25">
      <c r="A9" s="4">
        <v>6</v>
      </c>
      <c r="C9" s="5">
        <f t="array" ref="C9">IF($A9&gt;horizon,"",INDEX(Main,6,4+$A9))</f>
        <v>17360.176933765128</v>
      </c>
      <c r="D9" s="6">
        <f t="array" ref="D9">IF($A9&gt;horizon,"",INDEX(Main,10,4+$A9))</f>
        <v>42007.762074240003</v>
      </c>
      <c r="E9" s="7">
        <f t="array" ref="E9">IF($A9&gt;horizon,"",INDEX(Main,11,4+$A9))</f>
        <v>59367.939008005131</v>
      </c>
      <c r="F9" s="7">
        <f t="shared" si="0"/>
        <v>49719.71427095971</v>
      </c>
      <c r="G9" s="5">
        <f t="array" ref="G9">IF($A9&gt;horizon,"",INDEX(Main,18,4+$A9))</f>
        <v>0</v>
      </c>
      <c r="H9" s="6">
        <f t="array" ref="H9">IF($A9&gt;horizon,"",INDEX(Main,22,4+$A9))</f>
        <v>0</v>
      </c>
      <c r="I9" s="7">
        <f t="array" ref="I9">IF($A9&gt;horizon,"",INDEX(Main,23,4+$A9))</f>
        <v>0</v>
      </c>
      <c r="J9" s="7">
        <f t="shared" si="1"/>
        <v>0</v>
      </c>
      <c r="K9" s="5">
        <f t="array" ref="K9">IF($A9&gt;horizon,"",INDEX(Main,30,4+$A9))</f>
        <v>0</v>
      </c>
      <c r="L9" s="6">
        <f t="array" ref="L9">IF($A9&gt;horizon,"",INDEX(Main,34,4+$A9))</f>
        <v>0</v>
      </c>
      <c r="M9" s="7">
        <f t="array" ref="M9">IF($A9&gt;horizon,"",INDEX(Main,35,4+$A9))</f>
        <v>0</v>
      </c>
      <c r="N9" s="7">
        <f t="shared" si="2"/>
        <v>0</v>
      </c>
      <c r="P9" s="11">
        <f t="shared" si="3"/>
        <v>59367.939008005131</v>
      </c>
      <c r="Q9" s="11">
        <f t="shared" si="4"/>
        <v>49719.71427095971</v>
      </c>
    </row>
    <row r="10" spans="1:17" ht="12.75" customHeight="1" x14ac:dyDescent="0.25">
      <c r="A10" s="4">
        <v>7</v>
      </c>
      <c r="C10" s="5">
        <f t="array" ref="C10">IF($A10&gt;horizon,"",INDEX(Main,6,4+$A10))</f>
        <v>18054.58401111573</v>
      </c>
      <c r="D10" s="6">
        <f t="array" ref="D10">IF($A10&gt;horizon,"",INDEX(Main,10,4+$A10))</f>
        <v>43069.997967724797</v>
      </c>
      <c r="E10" s="7">
        <f t="array" ref="E10">IF($A10&gt;horizon,"",INDEX(Main,11,4+$A10))</f>
        <v>61124.581978840528</v>
      </c>
      <c r="F10" s="7">
        <f t="shared" si="0"/>
        <v>49699.878741406166</v>
      </c>
      <c r="G10" s="5">
        <f t="array" ref="G10">IF($A10&gt;horizon,"",INDEX(Main,18,4+$A10))</f>
        <v>0</v>
      </c>
      <c r="H10" s="6">
        <f t="array" ref="H10">IF($A10&gt;horizon,"",INDEX(Main,22,4+$A10))</f>
        <v>0</v>
      </c>
      <c r="I10" s="7">
        <f t="array" ref="I10">IF($A10&gt;horizon,"",INDEX(Main,23,4+$A10))</f>
        <v>0</v>
      </c>
      <c r="J10" s="7">
        <f t="shared" si="1"/>
        <v>0</v>
      </c>
      <c r="K10" s="5">
        <f t="array" ref="K10">IF($A10&gt;horizon,"",INDEX(Main,30,4+$A10))</f>
        <v>0</v>
      </c>
      <c r="L10" s="6">
        <f t="array" ref="L10">IF($A10&gt;horizon,"",INDEX(Main,34,4+$A10))</f>
        <v>0</v>
      </c>
      <c r="M10" s="7">
        <f t="array" ref="M10">IF($A10&gt;horizon,"",INDEX(Main,35,4+$A10))</f>
        <v>0</v>
      </c>
      <c r="N10" s="7">
        <f t="shared" si="2"/>
        <v>0</v>
      </c>
      <c r="P10" s="11">
        <f t="shared" si="3"/>
        <v>61124.581978840528</v>
      </c>
      <c r="Q10" s="11">
        <f t="shared" si="4"/>
        <v>49699.878741406166</v>
      </c>
    </row>
    <row r="11" spans="1:17" ht="12.75" customHeight="1" x14ac:dyDescent="0.25">
      <c r="A11" s="4">
        <v>8</v>
      </c>
      <c r="C11" s="5">
        <f t="array" ref="C11">IF($A11&gt;horizon,"",INDEX(Main,6,4+$A11))</f>
        <v>18776.76737156036</v>
      </c>
      <c r="D11" s="6">
        <f t="array" ref="D11">IF($A11&gt;horizon,"",INDEX(Main,10,4+$A11))</f>
        <v>44148.000135079295</v>
      </c>
      <c r="E11" s="7">
        <f t="array" ref="E11">IF($A11&gt;horizon,"",INDEX(Main,11,4+$A11))</f>
        <v>62924.767506639655</v>
      </c>
      <c r="F11" s="7">
        <f t="shared" si="0"/>
        <v>49673.392536798834</v>
      </c>
      <c r="G11" s="5">
        <f t="array" ref="G11">IF($A11&gt;horizon,"",INDEX(Main,18,4+$A11))</f>
        <v>0</v>
      </c>
      <c r="H11" s="6">
        <f t="array" ref="H11">IF($A11&gt;horizon,"",INDEX(Main,22,4+$A11))</f>
        <v>82016.156670158583</v>
      </c>
      <c r="I11" s="7">
        <f t="array" ref="I11">IF($A11&gt;horizon,"",INDEX(Main,23,4+$A11))</f>
        <v>82016.156670158583</v>
      </c>
      <c r="J11" s="7">
        <f t="shared" si="1"/>
        <v>64744.311438361685</v>
      </c>
      <c r="K11" s="5">
        <f t="array" ref="K11">IF($A11&gt;horizon,"",INDEX(Main,30,4+$A11))</f>
        <v>0</v>
      </c>
      <c r="L11" s="6">
        <f t="array" ref="L11">IF($A11&gt;horizon,"",INDEX(Main,34,4+$A11))</f>
        <v>0</v>
      </c>
      <c r="M11" s="7">
        <f t="array" ref="M11">IF($A11&gt;horizon,"",INDEX(Main,35,4+$A11))</f>
        <v>0</v>
      </c>
      <c r="N11" s="7">
        <f t="shared" si="2"/>
        <v>0</v>
      </c>
      <c r="P11" s="11">
        <f t="shared" si="3"/>
        <v>-19091.389163518928</v>
      </c>
      <c r="Q11" s="11">
        <f t="shared" si="4"/>
        <v>-15070.918901562851</v>
      </c>
    </row>
    <row r="12" spans="1:17" ht="12.75" customHeight="1" x14ac:dyDescent="0.25">
      <c r="A12" s="4">
        <v>9</v>
      </c>
      <c r="C12" s="5">
        <f t="array" ref="C12">IF($A12&gt;horizon,"",INDEX(Main,6,4+$A12))</f>
        <v>19527.838066422777</v>
      </c>
      <c r="D12" s="6">
        <f t="array" ref="D12">IF($A12&gt;horizon,"",INDEX(Main,10,4+$A12))</f>
        <v>45242.083901780876</v>
      </c>
      <c r="E12" s="7">
        <f t="array" ref="E12">IF($A12&gt;horizon,"",INDEX(Main,11,4+$A12))</f>
        <v>64769.921968203649</v>
      </c>
      <c r="F12" s="7">
        <f t="shared" si="0"/>
        <v>49640.751949022342</v>
      </c>
      <c r="G12" s="5">
        <f t="array" ref="G12">IF($A12&gt;horizon,"",INDEX(Main,18,4+$A12))</f>
        <v>0</v>
      </c>
      <c r="H12" s="6">
        <f t="array" ref="H12">IF($A12&gt;horizon,"",INDEX(Main,22,4+$A12))</f>
        <v>0</v>
      </c>
      <c r="I12" s="7">
        <f t="array" ref="I12">IF($A12&gt;horizon,"",INDEX(Main,23,4+$A12))</f>
        <v>0</v>
      </c>
      <c r="J12" s="7">
        <f t="shared" si="1"/>
        <v>0</v>
      </c>
      <c r="K12" s="5">
        <f t="array" ref="K12">IF($A12&gt;horizon,"",INDEX(Main,30,4+$A12))</f>
        <v>0</v>
      </c>
      <c r="L12" s="6">
        <f t="array" ref="L12">IF($A12&gt;horizon,"",INDEX(Main,34,4+$A12))</f>
        <v>0</v>
      </c>
      <c r="M12" s="7">
        <f t="array" ref="M12">IF($A12&gt;horizon,"",INDEX(Main,35,4+$A12))</f>
        <v>0</v>
      </c>
      <c r="N12" s="7">
        <f t="shared" si="2"/>
        <v>0</v>
      </c>
      <c r="P12" s="11">
        <f t="shared" si="3"/>
        <v>64769.921968203649</v>
      </c>
      <c r="Q12" s="11">
        <f t="shared" si="4"/>
        <v>49640.751949022342</v>
      </c>
    </row>
    <row r="13" spans="1:17" ht="12.75" customHeight="1" x14ac:dyDescent="0.25">
      <c r="A13" s="4">
        <v>10</v>
      </c>
      <c r="C13" s="5">
        <f t="array" ref="C13">IF($A13&gt;horizon,"",INDEX(Main,6,4+$A13))</f>
        <v>20308.951589079687</v>
      </c>
      <c r="D13" s="6">
        <f t="array" ref="D13">IF($A13&gt;horizon,"",INDEX(Main,10,4+$A13))</f>
        <v>46352.570899816499</v>
      </c>
      <c r="E13" s="7">
        <f t="array" ref="E13">IF($A13&gt;horizon,"",INDEX(Main,11,4+$A13))</f>
        <v>66661.522488896182</v>
      </c>
      <c r="F13" s="7">
        <f t="shared" si="0"/>
        <v>49602.43324173885</v>
      </c>
      <c r="G13" s="5">
        <f t="array" ref="G13">IF($A13&gt;horizon,"",INDEX(Main,18,4+$A13))</f>
        <v>0</v>
      </c>
      <c r="H13" s="6">
        <f t="array" ref="H13">IF($A13&gt;horizon,"",INDEX(Main,22,4+$A13))</f>
        <v>0</v>
      </c>
      <c r="I13" s="7">
        <f t="array" ref="I13">IF($A13&gt;horizon,"",INDEX(Main,23,4+$A13))</f>
        <v>0</v>
      </c>
      <c r="J13" s="7">
        <f t="shared" si="1"/>
        <v>0</v>
      </c>
      <c r="K13" s="5">
        <f t="array" ref="K13">IF($A13&gt;horizon,"",INDEX(Main,30,4+$A13))</f>
        <v>0</v>
      </c>
      <c r="L13" s="6">
        <f t="array" ref="L13">IF($A13&gt;horizon,"",INDEX(Main,34,4+$A13))</f>
        <v>0</v>
      </c>
      <c r="M13" s="7">
        <f t="array" ref="M13">IF($A13&gt;horizon,"",INDEX(Main,35,4+$A13))</f>
        <v>0</v>
      </c>
      <c r="N13" s="7">
        <f t="shared" si="2"/>
        <v>0</v>
      </c>
      <c r="P13" s="11">
        <f t="shared" si="3"/>
        <v>66661.522488896182</v>
      </c>
      <c r="Q13" s="11">
        <f t="shared" si="4"/>
        <v>49602.43324173885</v>
      </c>
    </row>
    <row r="14" spans="1:17" ht="12.75" customHeight="1" x14ac:dyDescent="0.25">
      <c r="A14" s="4">
        <v>11</v>
      </c>
      <c r="C14" s="5">
        <f t="array" ref="C14">IF($A14&gt;horizon,"",INDEX(Main,6,4+$A14))</f>
        <v>21121.309652642874</v>
      </c>
      <c r="D14" s="6">
        <f t="array" ref="D14">IF($A14&gt;horizon,"",INDEX(Main,10,4+$A14))</f>
        <v>47479.789193812823</v>
      </c>
      <c r="E14" s="7">
        <f t="array" ref="E14">IF($A14&gt;horizon,"",INDEX(Main,11,4+$A14))</f>
        <v>68601.098846455701</v>
      </c>
      <c r="F14" s="7">
        <f t="shared" si="0"/>
        <v>49558.893404734408</v>
      </c>
      <c r="G14" s="5">
        <f t="array" ref="G14">IF($A14&gt;horizon,"",INDEX(Main,18,4+$A14))</f>
        <v>0</v>
      </c>
      <c r="H14" s="6">
        <f t="array" ref="H14">IF($A14&gt;horizon,"",INDEX(Main,22,4+$A14))</f>
        <v>0</v>
      </c>
      <c r="I14" s="7">
        <f t="array" ref="I14">IF($A14&gt;horizon,"",INDEX(Main,23,4+$A14))</f>
        <v>0</v>
      </c>
      <c r="J14" s="7">
        <f t="shared" si="1"/>
        <v>0</v>
      </c>
      <c r="K14" s="5">
        <f t="array" ref="K14">IF($A14&gt;horizon,"",INDEX(Main,30,4+$A14))</f>
        <v>0</v>
      </c>
      <c r="L14" s="6">
        <f t="array" ref="L14">IF($A14&gt;horizon,"",INDEX(Main,34,4+$A14))</f>
        <v>0</v>
      </c>
      <c r="M14" s="7">
        <f t="array" ref="M14">IF($A14&gt;horizon,"",INDEX(Main,35,4+$A14))</f>
        <v>0</v>
      </c>
      <c r="N14" s="7">
        <f t="shared" si="2"/>
        <v>0</v>
      </c>
      <c r="P14" s="11">
        <f t="shared" si="3"/>
        <v>68601.098846455701</v>
      </c>
      <c r="Q14" s="11">
        <f t="shared" si="4"/>
        <v>49558.893404734408</v>
      </c>
    </row>
    <row r="15" spans="1:17" ht="12.75" customHeight="1" x14ac:dyDescent="0.25">
      <c r="A15" s="4">
        <v>12</v>
      </c>
      <c r="C15" s="5">
        <f t="array" ref="C15">IF($A15&gt;horizon,"",INDEX(Main,6,4+$A15))</f>
        <v>21966.162038748593</v>
      </c>
      <c r="D15" s="6">
        <f t="array" ref="D15">IF($A15&gt;horizon,"",INDEX(Main,10,4+$A15))</f>
        <v>48624.073409689081</v>
      </c>
      <c r="E15" s="7">
        <f t="array" ref="E15">IF($A15&gt;horizon,"",INDEX(Main,11,4+$A15))</f>
        <v>70590.23544843767</v>
      </c>
      <c r="F15" s="7">
        <f t="shared" si="0"/>
        <v>49510.57088161898</v>
      </c>
      <c r="G15" s="5">
        <f t="array" ref="G15">IF($A15&gt;horizon,"",INDEX(Main,18,4+$A15))</f>
        <v>0</v>
      </c>
      <c r="H15" s="6">
        <f t="array" ref="H15">IF($A15&gt;horizon,"",INDEX(Main,22,4+$A15))</f>
        <v>88776.925619378162</v>
      </c>
      <c r="I15" s="7">
        <f t="array" ref="I15">IF($A15&gt;horizon,"",INDEX(Main,23,4+$A15))</f>
        <v>88776.925619378162</v>
      </c>
      <c r="J15" s="7">
        <f t="shared" si="1"/>
        <v>62266.349454819952</v>
      </c>
      <c r="K15" s="5">
        <f t="array" ref="K15">IF($A15&gt;horizon,"",INDEX(Main,30,4+$A15))</f>
        <v>0</v>
      </c>
      <c r="L15" s="6">
        <f t="array" ref="L15">IF($A15&gt;horizon,"",INDEX(Main,34,4+$A15))</f>
        <v>0</v>
      </c>
      <c r="M15" s="7">
        <f t="array" ref="M15">IF($A15&gt;horizon,"",INDEX(Main,35,4+$A15))</f>
        <v>0</v>
      </c>
      <c r="N15" s="7">
        <f t="shared" si="2"/>
        <v>0</v>
      </c>
      <c r="P15" s="11">
        <f t="shared" si="3"/>
        <v>-18186.690170940492</v>
      </c>
      <c r="Q15" s="11">
        <f t="shared" si="4"/>
        <v>-12755.778573200972</v>
      </c>
    </row>
    <row r="16" spans="1:17" ht="12.75" customHeight="1" x14ac:dyDescent="0.25">
      <c r="A16" s="4">
        <v>13</v>
      </c>
      <c r="C16" s="5">
        <f t="array" ref="C16">IF($A16&gt;horizon,"",INDEX(Main,6,4+$A16))</f>
        <v>22844.808520298538</v>
      </c>
      <c r="D16" s="6">
        <f t="array" ref="D16">IF($A16&gt;horizon,"",INDEX(Main,10,4+$A16))</f>
        <v>49785.764865882862</v>
      </c>
      <c r="E16" s="7">
        <f t="array" ref="E16">IF($A16&gt;horizon,"",INDEX(Main,11,4+$A16))</f>
        <v>72630.573386181408</v>
      </c>
      <c r="F16" s="7">
        <f t="shared" si="0"/>
        <v>49457.886271793075</v>
      </c>
      <c r="G16" s="5">
        <f t="array" ref="G16">IF($A16&gt;horizon,"",INDEX(Main,18,4+$A16))</f>
        <v>0</v>
      </c>
      <c r="H16" s="6">
        <f t="array" ref="H16">IF($A16&gt;horizon,"",INDEX(Main,22,4+$A16))</f>
        <v>0</v>
      </c>
      <c r="I16" s="7">
        <f t="array" ref="I16">IF($A16&gt;horizon,"",INDEX(Main,23,4+$A16))</f>
        <v>0</v>
      </c>
      <c r="J16" s="7">
        <f t="shared" si="1"/>
        <v>0</v>
      </c>
      <c r="K16" s="5">
        <f t="array" ref="K16">IF($A16&gt;horizon,"",INDEX(Main,30,4+$A16))</f>
        <v>0</v>
      </c>
      <c r="L16" s="6">
        <f t="array" ref="L16">IF($A16&gt;horizon,"",INDEX(Main,34,4+$A16))</f>
        <v>0</v>
      </c>
      <c r="M16" s="7">
        <f t="array" ref="M16">IF($A16&gt;horizon,"",INDEX(Main,35,4+$A16))</f>
        <v>0</v>
      </c>
      <c r="N16" s="7">
        <f t="shared" si="2"/>
        <v>0</v>
      </c>
      <c r="P16" s="11">
        <f t="shared" si="3"/>
        <v>72630.573386181408</v>
      </c>
      <c r="Q16" s="11">
        <f t="shared" si="4"/>
        <v>49457.886271793075</v>
      </c>
    </row>
    <row r="17" spans="1:17" ht="12.75" customHeight="1" x14ac:dyDescent="0.25">
      <c r="A17" s="4">
        <v>14</v>
      </c>
      <c r="C17" s="5">
        <f t="array" ref="C17">IF($A17&gt;horizon,"",INDEX(Main,6,4+$A17))</f>
        <v>23758.600861110481</v>
      </c>
      <c r="D17" s="6">
        <f t="array" ref="D17">IF($A17&gt;horizon,"",INDEX(Main,10,4+$A17))</f>
        <v>50965.211707200528</v>
      </c>
      <c r="E17" s="7">
        <f t="array" ref="E17">IF($A17&gt;horizon,"",INDEX(Main,11,4+$A17))</f>
        <v>74723.812568311012</v>
      </c>
      <c r="F17" s="7">
        <f t="shared" si="0"/>
        <v>49401.243007563542</v>
      </c>
      <c r="G17" s="5">
        <f t="array" ref="G17">IF($A17&gt;horizon,"",INDEX(Main,18,4+$A17))</f>
        <v>0</v>
      </c>
      <c r="H17" s="6">
        <f t="array" ref="H17">IF($A17&gt;horizon,"",INDEX(Main,22,4+$A17))</f>
        <v>0</v>
      </c>
      <c r="I17" s="7">
        <f t="array" ref="I17">IF($A17&gt;horizon,"",INDEX(Main,23,4+$A17))</f>
        <v>0</v>
      </c>
      <c r="J17" s="7">
        <f t="shared" si="1"/>
        <v>0</v>
      </c>
      <c r="K17" s="5">
        <f t="array" ref="K17">IF($A17&gt;horizon,"",INDEX(Main,30,4+$A17))</f>
        <v>0</v>
      </c>
      <c r="L17" s="6">
        <f t="array" ref="L17">IF($A17&gt;horizon,"",INDEX(Main,34,4+$A17))</f>
        <v>0</v>
      </c>
      <c r="M17" s="7">
        <f t="array" ref="M17">IF($A17&gt;horizon,"",INDEX(Main,35,4+$A17))</f>
        <v>0</v>
      </c>
      <c r="N17" s="7">
        <f t="shared" si="2"/>
        <v>0</v>
      </c>
      <c r="P17" s="11">
        <f t="shared" si="3"/>
        <v>74723.812568311012</v>
      </c>
      <c r="Q17" s="11">
        <f t="shared" si="4"/>
        <v>49401.243007563542</v>
      </c>
    </row>
    <row r="18" spans="1:17" ht="12.75" customHeight="1" x14ac:dyDescent="0.25">
      <c r="A18" s="4">
        <v>15</v>
      </c>
      <c r="C18" s="5">
        <f t="array" ref="C18">IF($A18&gt;horizon,"",INDEX(Main,6,4+$A18))</f>
        <v>24708.944895554898</v>
      </c>
      <c r="D18" s="6">
        <f t="array" ref="D18">IF($A18&gt;horizon,"",INDEX(Main,10,4+$A18))</f>
        <v>52162.769041344523</v>
      </c>
      <c r="E18" s="7">
        <f t="array" ref="E18">IF($A18&gt;horizon,"",INDEX(Main,11,4+$A18))</f>
        <v>76871.713936899425</v>
      </c>
      <c r="F18" s="7">
        <f t="shared" si="0"/>
        <v>49341.028007261666</v>
      </c>
      <c r="G18" s="5">
        <f t="array" ref="G18">IF($A18&gt;horizon,"",INDEX(Main,18,4+$A18))</f>
        <v>0</v>
      </c>
      <c r="H18" s="6">
        <f t="array" ref="H18">IF($A18&gt;horizon,"",INDEX(Main,22,4+$A18))</f>
        <v>0</v>
      </c>
      <c r="I18" s="7">
        <f t="array" ref="I18">IF($A18&gt;horizon,"",INDEX(Main,23,4+$A18))</f>
        <v>0</v>
      </c>
      <c r="J18" s="7">
        <f t="shared" si="1"/>
        <v>0</v>
      </c>
      <c r="K18" s="5">
        <f t="array" ref="K18">IF($A18&gt;horizon,"",INDEX(Main,30,4+$A18))</f>
        <v>0</v>
      </c>
      <c r="L18" s="6">
        <f t="array" ref="L18">IF($A18&gt;horizon,"",INDEX(Main,34,4+$A18))</f>
        <v>0</v>
      </c>
      <c r="M18" s="7">
        <f t="array" ref="M18">IF($A18&gt;horizon,"",INDEX(Main,35,4+$A18))</f>
        <v>0</v>
      </c>
      <c r="N18" s="7">
        <f t="shared" si="2"/>
        <v>0</v>
      </c>
      <c r="P18" s="11">
        <f t="shared" si="3"/>
        <v>76871.713936899425</v>
      </c>
      <c r="Q18" s="11">
        <f t="shared" si="4"/>
        <v>49341.028007261666</v>
      </c>
    </row>
    <row r="19" spans="1:17" ht="12.75" customHeight="1" x14ac:dyDescent="0.25">
      <c r="A19" s="4">
        <v>16</v>
      </c>
      <c r="C19" s="5">
        <f t="array" ref="C19">IF($A19&gt;horizon,"",INDEX(Main,6,4+$A19))</f>
        <v>25697.302691377099</v>
      </c>
      <c r="D19" s="6">
        <f t="array" ref="D19">IF($A19&gt;horizon,"",INDEX(Main,10,4+$A19))</f>
        <v>53378.799078171425</v>
      </c>
      <c r="E19" s="7">
        <f t="array" ref="E19">IF($A19&gt;horizon,"",INDEX(Main,11,4+$A19))</f>
        <v>79076.101769548521</v>
      </c>
      <c r="F19" s="7">
        <f t="shared" si="0"/>
        <v>49277.612305187824</v>
      </c>
      <c r="G19" s="5">
        <f t="array" ref="G19">IF($A19&gt;horizon,"",INDEX(Main,18,4+$A19))</f>
        <v>0</v>
      </c>
      <c r="H19" s="6">
        <f t="array" ref="H19">IF($A19&gt;horizon,"",INDEX(Main,22,4+$A19))</f>
        <v>96094.999356342843</v>
      </c>
      <c r="I19" s="7">
        <f t="array" ref="I19">IF($A19&gt;horizon,"",INDEX(Main,23,4+$A19))</f>
        <v>96094.999356342843</v>
      </c>
      <c r="J19" s="7">
        <f t="shared" si="1"/>
        <v>59883.22662325103</v>
      </c>
      <c r="K19" s="5">
        <f t="array" ref="K19">IF($A19&gt;horizon,"",INDEX(Main,30,4+$A19))</f>
        <v>0</v>
      </c>
      <c r="L19" s="6">
        <f t="array" ref="L19">IF($A19&gt;horizon,"",INDEX(Main,34,4+$A19))</f>
        <v>0</v>
      </c>
      <c r="M19" s="7">
        <f t="array" ref="M19">IF($A19&gt;horizon,"",INDEX(Main,35,4+$A19))</f>
        <v>0</v>
      </c>
      <c r="N19" s="7">
        <f t="shared" si="2"/>
        <v>0</v>
      </c>
      <c r="P19" s="11">
        <f t="shared" si="3"/>
        <v>-17018.897586794323</v>
      </c>
      <c r="Q19" s="11">
        <f t="shared" si="4"/>
        <v>-10605.614318063206</v>
      </c>
    </row>
    <row r="20" spans="1:17" ht="12.75" customHeight="1" x14ac:dyDescent="0.25">
      <c r="A20" s="4">
        <v>17</v>
      </c>
      <c r="C20" s="5">
        <f t="array" ref="C20">IF($A20&gt;horizon,"",INDEX(Main,6,4+$A20))</f>
        <v>26725.194799032182</v>
      </c>
      <c r="D20" s="6">
        <f t="array" ref="D20">IF($A20&gt;horizon,"",INDEX(Main,10,4+$A20))</f>
        <v>54613.671271734856</v>
      </c>
      <c r="E20" s="7">
        <f t="array" ref="E20">IF($A20&gt;horizon,"",INDEX(Main,11,4+$A20))</f>
        <v>81338.866070767035</v>
      </c>
      <c r="F20" s="7">
        <f t="shared" si="0"/>
        <v>49211.351659179323</v>
      </c>
      <c r="G20" s="5">
        <f t="array" ref="G20">IF($A20&gt;horizon,"",INDEX(Main,18,4+$A20))</f>
        <v>0</v>
      </c>
      <c r="H20" s="6">
        <f t="array" ref="H20">IF($A20&gt;horizon,"",INDEX(Main,22,4+$A20))</f>
        <v>0</v>
      </c>
      <c r="I20" s="7">
        <f t="array" ref="I20">IF($A20&gt;horizon,"",INDEX(Main,23,4+$A20))</f>
        <v>0</v>
      </c>
      <c r="J20" s="7">
        <f t="shared" si="1"/>
        <v>0</v>
      </c>
      <c r="K20" s="5">
        <f t="array" ref="K20">IF($A20&gt;horizon,"",INDEX(Main,30,4+$A20))</f>
        <v>0</v>
      </c>
      <c r="L20" s="6">
        <f t="array" ref="L20">IF($A20&gt;horizon,"",INDEX(Main,34,4+$A20))</f>
        <v>0</v>
      </c>
      <c r="M20" s="7">
        <f t="array" ref="M20">IF($A20&gt;horizon,"",INDEX(Main,35,4+$A20))</f>
        <v>0</v>
      </c>
      <c r="N20" s="7">
        <f t="shared" si="2"/>
        <v>0</v>
      </c>
      <c r="P20" s="11">
        <f t="shared" si="3"/>
        <v>81338.866070767035</v>
      </c>
      <c r="Q20" s="11">
        <f t="shared" si="4"/>
        <v>49211.351659179323</v>
      </c>
    </row>
    <row r="21" spans="1:17" ht="12.75" customHeight="1" x14ac:dyDescent="0.25">
      <c r="A21" s="4">
        <v>18</v>
      </c>
      <c r="C21" s="5">
        <f t="array" ref="C21">IF($A21&gt;horizon,"",INDEX(Main,6,4+$A21))</f>
        <v>27794.202590993475</v>
      </c>
      <c r="D21" s="6">
        <f t="array" ref="D21">IF($A21&gt;horizon,"",INDEX(Main,10,4+$A21))</f>
        <v>55867.762465169544</v>
      </c>
      <c r="E21" s="7">
        <f t="array" ref="E21">IF($A21&gt;horizon,"",INDEX(Main,11,4+$A21))</f>
        <v>83661.965056163026</v>
      </c>
      <c r="F21" s="7">
        <f t="shared" si="0"/>
        <v>49142.587136572038</v>
      </c>
      <c r="G21" s="5">
        <f t="array" ref="G21">IF($A21&gt;horizon,"",INDEX(Main,18,4+$A21))</f>
        <v>0</v>
      </c>
      <c r="H21" s="6">
        <f t="array" ref="H21">IF($A21&gt;horizon,"",INDEX(Main,22,4+$A21))</f>
        <v>0</v>
      </c>
      <c r="I21" s="7">
        <f t="array" ref="I21">IF($A21&gt;horizon,"",INDEX(Main,23,4+$A21))</f>
        <v>0</v>
      </c>
      <c r="J21" s="7">
        <f t="shared" si="1"/>
        <v>0</v>
      </c>
      <c r="K21" s="5">
        <f t="array" ref="K21">IF($A21&gt;horizon,"",INDEX(Main,30,4+$A21))</f>
        <v>0</v>
      </c>
      <c r="L21" s="6">
        <f t="array" ref="L21">IF($A21&gt;horizon,"",INDEX(Main,34,4+$A21))</f>
        <v>0</v>
      </c>
      <c r="M21" s="7">
        <f t="array" ref="M21">IF($A21&gt;horizon,"",INDEX(Main,35,4+$A21))</f>
        <v>0</v>
      </c>
      <c r="N21" s="7">
        <f t="shared" si="2"/>
        <v>0</v>
      </c>
      <c r="P21" s="11">
        <f t="shared" si="3"/>
        <v>83661.965056163026</v>
      </c>
      <c r="Q21" s="11">
        <f t="shared" si="4"/>
        <v>49142.587136572038</v>
      </c>
    </row>
    <row r="22" spans="1:17" ht="12.75" customHeight="1" x14ac:dyDescent="0.25">
      <c r="A22" s="4">
        <v>19</v>
      </c>
      <c r="C22" s="5">
        <f t="array" ref="C22">IF($A22&gt;horizon,"",INDEX(Main,6,4+$A22))</f>
        <v>28905.970694633212</v>
      </c>
      <c r="D22" s="6">
        <f t="array" ref="D22">IF($A22&gt;horizon,"",INDEX(Main,10,4+$A22))</f>
        <v>57141.45703847293</v>
      </c>
      <c r="E22" s="7">
        <f t="array" ref="E22">IF($A22&gt;horizon,"",INDEX(Main,11,4+$A22))</f>
        <v>86047.427733106146</v>
      </c>
      <c r="F22" s="7">
        <f t="shared" si="0"/>
        <v>49071.645679299349</v>
      </c>
      <c r="G22" s="5">
        <f t="array" ref="G22">IF($A22&gt;horizon,"",INDEX(Main,18,4+$A22))</f>
        <v>0</v>
      </c>
      <c r="H22" s="6">
        <f t="array" ref="H22">IF($A22&gt;horizon,"",INDEX(Main,22,4+$A22))</f>
        <v>0</v>
      </c>
      <c r="I22" s="7">
        <f t="array" ref="I22">IF($A22&gt;horizon,"",INDEX(Main,23,4+$A22))</f>
        <v>0</v>
      </c>
      <c r="J22" s="7">
        <f t="shared" si="1"/>
        <v>0</v>
      </c>
      <c r="K22" s="5">
        <f t="array" ref="K22">IF($A22&gt;horizon,"",INDEX(Main,30,4+$A22))</f>
        <v>0</v>
      </c>
      <c r="L22" s="6">
        <f t="array" ref="L22">IF($A22&gt;horizon,"",INDEX(Main,34,4+$A22))</f>
        <v>0</v>
      </c>
      <c r="M22" s="7">
        <f t="array" ref="M22">IF($A22&gt;horizon,"",INDEX(Main,35,4+$A22))</f>
        <v>0</v>
      </c>
      <c r="N22" s="7">
        <f t="shared" si="2"/>
        <v>0</v>
      </c>
      <c r="P22" s="11">
        <f t="shared" si="3"/>
        <v>86047.427733106146</v>
      </c>
      <c r="Q22" s="11">
        <f t="shared" si="4"/>
        <v>49071.645679299349</v>
      </c>
    </row>
    <row r="23" spans="1:17" ht="12.75" customHeight="1" x14ac:dyDescent="0.25">
      <c r="A23" s="4">
        <v>20</v>
      </c>
      <c r="C23" s="5">
        <f t="array" ref="C23">IF($A23&gt;horizon,"",INDEX(Main,6,4+$A23))</f>
        <v>30062.20952241854</v>
      </c>
      <c r="D23" s="6">
        <f t="array" ref="D23">IF($A23&gt;horizon,"",INDEX(Main,10,4+$A23))</f>
        <v>58435.147059242401</v>
      </c>
      <c r="E23" s="7">
        <f t="array" ref="E23">IF($A23&gt;horizon,"",INDEX(Main,11,4+$A23))</f>
        <v>88497.356581660948</v>
      </c>
      <c r="F23" s="7">
        <f t="shared" si="0"/>
        <v>48998.840648848141</v>
      </c>
      <c r="G23" s="5">
        <f t="array" ref="G23">IF($A23&gt;horizon,"",INDEX(Main,18,4+$A23))</f>
        <v>0</v>
      </c>
      <c r="H23" s="6">
        <f t="array" ref="H23">IF($A23&gt;horizon,"",INDEX(Main,22,4+$A23))</f>
        <v>104016.3177184848</v>
      </c>
      <c r="I23" s="7">
        <f t="array" ref="I23">IF($A23&gt;horizon,"",INDEX(Main,23,4+$A23))</f>
        <v>104016.3177184848</v>
      </c>
      <c r="J23" s="7">
        <f t="shared" si="1"/>
        <v>57591.313160467507</v>
      </c>
      <c r="K23" s="5">
        <f t="array" ref="K23">IF($A23&gt;horizon,"",INDEX(Main,30,4+$A23))</f>
        <v>0</v>
      </c>
      <c r="L23" s="6">
        <f t="array" ref="L23">IF($A23&gt;horizon,"",INDEX(Main,34,4+$A23))</f>
        <v>0</v>
      </c>
      <c r="M23" s="7">
        <f t="array" ref="M23">IF($A23&gt;horizon,"",INDEX(Main,35,4+$A23))</f>
        <v>0</v>
      </c>
      <c r="N23" s="7">
        <f t="shared" si="2"/>
        <v>0</v>
      </c>
      <c r="P23" s="11">
        <f t="shared" si="3"/>
        <v>-15518.961136823855</v>
      </c>
      <c r="Q23" s="11">
        <f t="shared" si="4"/>
        <v>-8592.4725116193658</v>
      </c>
    </row>
    <row r="24" spans="1:17" ht="12.75" customHeight="1" x14ac:dyDescent="0.25">
      <c r="A24" s="4">
        <v>21</v>
      </c>
      <c r="C24" s="5">
        <f t="array" ref="C24">IF($A24&gt;horizon,"",INDEX(Main,6,4+$A24))</f>
        <v>31264.697903315289</v>
      </c>
      <c r="D24" s="6">
        <f t="array" ref="D24">IF($A24&gt;horizon,"",INDEX(Main,10,4+$A24))</f>
        <v>59749.232436427243</v>
      </c>
      <c r="E24" s="7">
        <f t="array" ref="E24">IF($A24&gt;horizon,"",INDEX(Main,11,4+$A24))</f>
        <v>91013.930339742539</v>
      </c>
      <c r="F24" s="7">
        <f t="shared" si="0"/>
        <v>48924.472351766512</v>
      </c>
      <c r="G24" s="5">
        <f t="array" ref="G24">IF($A24&gt;horizon,"",INDEX(Main,18,4+$A24))</f>
        <v>0</v>
      </c>
      <c r="H24" s="6">
        <f t="array" ref="H24">IF($A24&gt;horizon,"",INDEX(Main,22,4+$A24))</f>
        <v>0</v>
      </c>
      <c r="I24" s="7">
        <f t="array" ref="I24">IF($A24&gt;horizon,"",INDEX(Main,23,4+$A24))</f>
        <v>0</v>
      </c>
      <c r="J24" s="7">
        <f t="shared" si="1"/>
        <v>0</v>
      </c>
      <c r="K24" s="5">
        <f t="array" ref="K24">IF($A24&gt;horizon,"",INDEX(Main,30,4+$A24))</f>
        <v>0</v>
      </c>
      <c r="L24" s="6">
        <f t="array" ref="L24">IF($A24&gt;horizon,"",INDEX(Main,34,4+$A24))</f>
        <v>0</v>
      </c>
      <c r="M24" s="7">
        <f t="array" ref="M24">IF($A24&gt;horizon,"",INDEX(Main,35,4+$A24))</f>
        <v>0</v>
      </c>
      <c r="N24" s="7">
        <f t="shared" si="2"/>
        <v>0</v>
      </c>
      <c r="P24" s="11">
        <f t="shared" si="3"/>
        <v>91013.930339742539</v>
      </c>
      <c r="Q24" s="11">
        <f t="shared" si="4"/>
        <v>48924.472351766512</v>
      </c>
    </row>
    <row r="25" spans="1:17" ht="12.75" customHeight="1" x14ac:dyDescent="0.25">
      <c r="A25" s="4">
        <v>22</v>
      </c>
      <c r="C25" s="5">
        <f t="array" ref="C25">IF($A25&gt;horizon,"",INDEX(Main,6,4+$A25))</f>
        <v>32515.285819447898</v>
      </c>
      <c r="D25" s="6">
        <f t="array" ref="D25">IF($A25&gt;horizon,"",INDEX(Main,10,4+$A25))</f>
        <v>61084.121077155789</v>
      </c>
      <c r="E25" s="7">
        <f t="array" ref="E25">IF($A25&gt;horizon,"",INDEX(Main,11,4+$A25))</f>
        <v>93599.406896603687</v>
      </c>
      <c r="F25" s="7">
        <f t="shared" si="0"/>
        <v>48848.82854639522</v>
      </c>
      <c r="G25" s="5">
        <f t="array" ref="G25">IF($A25&gt;horizon,"",INDEX(Main,18,4+$A25))</f>
        <v>0</v>
      </c>
      <c r="H25" s="6">
        <f t="array" ref="H25">IF($A25&gt;horizon,"",INDEX(Main,22,4+$A25))</f>
        <v>0</v>
      </c>
      <c r="I25" s="7">
        <f t="array" ref="I25">IF($A25&gt;horizon,"",INDEX(Main,23,4+$A25))</f>
        <v>0</v>
      </c>
      <c r="J25" s="7">
        <f t="shared" si="1"/>
        <v>0</v>
      </c>
      <c r="K25" s="5">
        <f t="array" ref="K25">IF($A25&gt;horizon,"",INDEX(Main,30,4+$A25))</f>
        <v>0</v>
      </c>
      <c r="L25" s="6">
        <f t="array" ref="L25">IF($A25&gt;horizon,"",INDEX(Main,34,4+$A25))</f>
        <v>0</v>
      </c>
      <c r="M25" s="7">
        <f t="array" ref="M25">IF($A25&gt;horizon,"",INDEX(Main,35,4+$A25))</f>
        <v>0</v>
      </c>
      <c r="N25" s="7">
        <f t="shared" si="2"/>
        <v>0</v>
      </c>
      <c r="P25" s="11">
        <f t="shared" si="3"/>
        <v>93599.406896603687</v>
      </c>
      <c r="Q25" s="11">
        <f t="shared" si="4"/>
        <v>48848.82854639522</v>
      </c>
    </row>
    <row r="26" spans="1:17" ht="12.75" customHeight="1" x14ac:dyDescent="0.25">
      <c r="A26" s="4">
        <v>23</v>
      </c>
      <c r="C26" s="5">
        <f t="array" ref="C26">IF($A26&gt;horizon,"",INDEX(Main,6,4+$A26))</f>
        <v>33815.897252225812</v>
      </c>
      <c r="D26" s="6">
        <f t="array" ref="D26">IF($A26&gt;horizon,"",INDEX(Main,10,4+$A26))</f>
        <v>62440.2290466989</v>
      </c>
      <c r="E26" s="7">
        <f t="array" ref="E26">IF($A26&gt;horizon,"",INDEX(Main,11,4+$A26))</f>
        <v>96256.126298924704</v>
      </c>
      <c r="F26" s="7">
        <f t="shared" si="0"/>
        <v>48772.184931471675</v>
      </c>
      <c r="G26" s="5">
        <f t="array" ref="G26">IF($A26&gt;horizon,"",INDEX(Main,18,4+$A26))</f>
        <v>0</v>
      </c>
      <c r="H26" s="6">
        <f t="array" ref="H26">IF($A26&gt;horizon,"",INDEX(Main,22,4+$A26))</f>
        <v>0</v>
      </c>
      <c r="I26" s="7">
        <f t="array" ref="I26">IF($A26&gt;horizon,"",INDEX(Main,23,4+$A26))</f>
        <v>0</v>
      </c>
      <c r="J26" s="7">
        <f t="shared" si="1"/>
        <v>0</v>
      </c>
      <c r="K26" s="5">
        <f t="array" ref="K26">IF($A26&gt;horizon,"",INDEX(Main,30,4+$A26))</f>
        <v>0</v>
      </c>
      <c r="L26" s="6">
        <f t="array" ref="L26">IF($A26&gt;horizon,"",INDEX(Main,34,4+$A26))</f>
        <v>0</v>
      </c>
      <c r="M26" s="7">
        <f t="array" ref="M26">IF($A26&gt;horizon,"",INDEX(Main,35,4+$A26))</f>
        <v>0</v>
      </c>
      <c r="N26" s="7">
        <f t="shared" si="2"/>
        <v>0</v>
      </c>
      <c r="P26" s="11">
        <f t="shared" si="3"/>
        <v>96256.126298924704</v>
      </c>
      <c r="Q26" s="11">
        <f t="shared" si="4"/>
        <v>48772.184931471675</v>
      </c>
    </row>
    <row r="27" spans="1:17" ht="12.75" customHeight="1" x14ac:dyDescent="0.25">
      <c r="A27" s="4">
        <v>24</v>
      </c>
      <c r="C27" s="5">
        <f t="array" ref="C27">IF($A27&gt;horizon,"",INDEX(Main,6,4+$A27))</f>
        <v>35168.533142314845</v>
      </c>
      <c r="D27" s="6">
        <f t="array" ref="D27">IF($A27&gt;horizon,"",INDEX(Main,10,4+$A27))</f>
        <v>63817.980731632881</v>
      </c>
      <c r="E27" s="7">
        <f t="array" ref="E27">IF($A27&gt;horizon,"",INDEX(Main,11,4+$A27))</f>
        <v>98986.513873947726</v>
      </c>
      <c r="F27" s="7">
        <f t="shared" si="0"/>
        <v>48694.805617233797</v>
      </c>
      <c r="G27" s="5">
        <f t="array" ref="G27">IF($A27&gt;horizon,"",INDEX(Main,18,4+$A27))</f>
        <v>0</v>
      </c>
      <c r="H27" s="6">
        <f t="array" ref="H27">IF($A27&gt;horizon,"",INDEX(Main,22,4+$A27))</f>
        <v>112590.60746326575</v>
      </c>
      <c r="I27" s="7">
        <f t="array" ref="I27">IF($A27&gt;horizon,"",INDEX(Main,23,4+$A27))</f>
        <v>112590.60746326575</v>
      </c>
      <c r="J27" s="7">
        <f t="shared" si="1"/>
        <v>55387.118206139377</v>
      </c>
      <c r="K27" s="5">
        <f t="array" ref="K27">IF($A27&gt;horizon,"",INDEX(Main,30,4+$A27))</f>
        <v>0</v>
      </c>
      <c r="L27" s="6">
        <f t="array" ref="L27">IF($A27&gt;horizon,"",INDEX(Main,34,4+$A27))</f>
        <v>0</v>
      </c>
      <c r="M27" s="7">
        <f t="array" ref="M27">IF($A27&gt;horizon,"",INDEX(Main,35,4+$A27))</f>
        <v>0</v>
      </c>
      <c r="N27" s="7">
        <f t="shared" si="2"/>
        <v>0</v>
      </c>
      <c r="P27" s="11">
        <f t="shared" si="3"/>
        <v>-13604.093589318029</v>
      </c>
      <c r="Q27" s="11">
        <f t="shared" si="4"/>
        <v>-6692.3125889055809</v>
      </c>
    </row>
    <row r="28" spans="1:17" ht="12.75" customHeight="1" x14ac:dyDescent="0.25">
      <c r="A28" s="4">
        <v>25</v>
      </c>
      <c r="C28" s="5">
        <f t="array" ref="C28">IF($A28&gt;horizon,"",INDEX(Main,6,4+$A28))</f>
        <v>36575.274468007447</v>
      </c>
      <c r="D28" s="6">
        <f t="array" ref="D28">IF($A28&gt;horizon,"",INDEX(Main,10,4+$A28))</f>
        <v>65217.809006265532</v>
      </c>
      <c r="E28" s="7">
        <f t="array" ref="E28">IF($A28&gt;horizon,"",INDEX(Main,11,4+$A28))</f>
        <v>101793.08347427298</v>
      </c>
      <c r="F28" s="7">
        <f t="shared" si="0"/>
        <v>48616.943579629784</v>
      </c>
      <c r="G28" s="5">
        <f t="array" ref="G28">IF($A28&gt;horizon,"",INDEX(Main,18,4+$A28))</f>
        <v>0</v>
      </c>
      <c r="H28" s="6">
        <f t="array" ref="H28">IF($A28&gt;horizon,"",INDEX(Main,22,4+$A28))</f>
        <v>0</v>
      </c>
      <c r="I28" s="7">
        <f t="array" ref="I28">IF($A28&gt;horizon,"",INDEX(Main,23,4+$A28))</f>
        <v>0</v>
      </c>
      <c r="J28" s="7">
        <f t="shared" si="1"/>
        <v>0</v>
      </c>
      <c r="K28" s="5">
        <f t="array" ref="K28">IF($A28&gt;horizon,"",INDEX(Main,30,4+$A28))</f>
        <v>0</v>
      </c>
      <c r="L28" s="6">
        <f t="array" ref="L28">IF($A28&gt;horizon,"",INDEX(Main,34,4+$A28))</f>
        <v>0</v>
      </c>
      <c r="M28" s="7">
        <f t="array" ref="M28">IF($A28&gt;horizon,"",INDEX(Main,35,4+$A28))</f>
        <v>0</v>
      </c>
      <c r="N28" s="7">
        <f t="shared" si="2"/>
        <v>0</v>
      </c>
      <c r="P28" s="11">
        <f t="shared" si="3"/>
        <v>101793.08347427298</v>
      </c>
      <c r="Q28" s="11">
        <f t="shared" si="4"/>
        <v>48616.943579629784</v>
      </c>
    </row>
    <row r="29" spans="1:17" ht="12.75" customHeight="1" x14ac:dyDescent="0.25">
      <c r="A29" s="4">
        <v>26</v>
      </c>
      <c r="C29" s="5">
        <f t="array" ref="C29">IF($A29&gt;horizon,"",INDEX(Main,6,4+$A29))</f>
        <v>38038.285446727743</v>
      </c>
      <c r="D29" s="6">
        <f t="array" ref="D29">IF($A29&gt;horizon,"",INDEX(Main,10,4+$A29))</f>
        <v>66640.155402390854</v>
      </c>
      <c r="E29" s="7">
        <f t="array" ref="E29">IF($A29&gt;horizon,"",INDEX(Main,11,4+$A29))</f>
        <v>104678.4408491186</v>
      </c>
      <c r="F29" s="7">
        <f t="shared" si="0"/>
        <v>48538.841098219666</v>
      </c>
      <c r="G29" s="5">
        <f t="array" ref="G29">IF($A29&gt;horizon,"",INDEX(Main,18,4+$A29))</f>
        <v>0</v>
      </c>
      <c r="H29" s="6">
        <f t="array" ref="H29">IF($A29&gt;horizon,"",INDEX(Main,22,4+$A29))</f>
        <v>0</v>
      </c>
      <c r="I29" s="7">
        <f t="array" ref="I29">IF($A29&gt;horizon,"",INDEX(Main,23,4+$A29))</f>
        <v>0</v>
      </c>
      <c r="J29" s="7">
        <f t="shared" si="1"/>
        <v>0</v>
      </c>
      <c r="K29" s="5">
        <f t="array" ref="K29">IF($A29&gt;horizon,"",INDEX(Main,30,4+$A29))</f>
        <v>0</v>
      </c>
      <c r="L29" s="6">
        <f t="array" ref="L29">IF($A29&gt;horizon,"",INDEX(Main,34,4+$A29))</f>
        <v>0</v>
      </c>
      <c r="M29" s="7">
        <f t="array" ref="M29">IF($A29&gt;horizon,"",INDEX(Main,35,4+$A29))</f>
        <v>0</v>
      </c>
      <c r="N29" s="7">
        <f t="shared" si="2"/>
        <v>0</v>
      </c>
      <c r="P29" s="11">
        <f t="shared" si="3"/>
        <v>104678.4408491186</v>
      </c>
      <c r="Q29" s="11">
        <f t="shared" si="4"/>
        <v>48538.841098219666</v>
      </c>
    </row>
    <row r="30" spans="1:17" ht="12.75" customHeight="1" x14ac:dyDescent="0.25">
      <c r="A30" s="4">
        <v>27</v>
      </c>
      <c r="C30" s="5">
        <f t="array" ref="C30">IF($A30&gt;horizon,"",INDEX(Main,6,4+$A30))</f>
        <v>39559.816864596854</v>
      </c>
      <c r="D30" s="6">
        <f t="array" ref="D30">IF($A30&gt;horizon,"",INDEX(Main,10,4+$A30))</f>
        <v>68085.470282438662</v>
      </c>
      <c r="E30" s="7">
        <f t="array" ref="E30">IF($A30&gt;horizon,"",INDEX(Main,11,4+$A30))</f>
        <v>107645.28714703552</v>
      </c>
      <c r="F30" s="7">
        <f t="shared" si="0"/>
        <v>48460.730178334161</v>
      </c>
      <c r="G30" s="5">
        <f t="array" ref="G30">IF($A30&gt;horizon,"",INDEX(Main,18,4+$A30))</f>
        <v>0</v>
      </c>
      <c r="H30" s="6">
        <f t="array" ref="H30">IF($A30&gt;horizon,"",INDEX(Main,22,4+$A30))</f>
        <v>0</v>
      </c>
      <c r="I30" s="7">
        <f t="array" ref="I30">IF($A30&gt;horizon,"",INDEX(Main,23,4+$A30))</f>
        <v>0</v>
      </c>
      <c r="J30" s="7">
        <f t="shared" si="1"/>
        <v>0</v>
      </c>
      <c r="K30" s="5">
        <f t="array" ref="K30">IF($A30&gt;horizon,"",INDEX(Main,30,4+$A30))</f>
        <v>0</v>
      </c>
      <c r="L30" s="6">
        <f t="array" ref="L30">IF($A30&gt;horizon,"",INDEX(Main,34,4+$A30))</f>
        <v>0</v>
      </c>
      <c r="M30" s="7">
        <f t="array" ref="M30">IF($A30&gt;horizon,"",INDEX(Main,35,4+$A30))</f>
        <v>0</v>
      </c>
      <c r="N30" s="7">
        <f t="shared" si="2"/>
        <v>0</v>
      </c>
      <c r="P30" s="11">
        <f t="shared" si="3"/>
        <v>107645.28714703552</v>
      </c>
      <c r="Q30" s="11">
        <f t="shared" si="4"/>
        <v>48460.730178334161</v>
      </c>
    </row>
    <row r="31" spans="1:17" ht="12.75" customHeight="1" x14ac:dyDescent="0.25">
      <c r="A31" s="4">
        <v>28</v>
      </c>
      <c r="C31" s="5">
        <f t="array" ref="C31">IF($A31&gt;horizon,"",INDEX(Main,6,4+$A31))</f>
        <v>41142.209539180738</v>
      </c>
      <c r="D31" s="6">
        <f t="array" ref="D31">IF($A31&gt;horizon,"",INDEX(Main,10,4+$A31))</f>
        <v>69554.213016087451</v>
      </c>
      <c r="E31" s="7">
        <f t="array" ref="E31">IF($A31&gt;horizon,"",INDEX(Main,11,4+$A31))</f>
        <v>110696.42255526819</v>
      </c>
      <c r="F31" s="7">
        <f t="shared" si="0"/>
        <v>48382.832958038089</v>
      </c>
      <c r="G31" s="5">
        <f t="array" ref="G31">IF($A31&gt;horizon,"",INDEX(Main,18,4+$A31))</f>
        <v>0</v>
      </c>
      <c r="H31" s="6">
        <f t="array" ref="H31">IF($A31&gt;horizon,"",INDEX(Main,22,4+$A31))</f>
        <v>121871.69443217489</v>
      </c>
      <c r="I31" s="7">
        <f t="array" ref="I31">IF($A31&gt;horizon,"",INDEX(Main,23,4+$A31))</f>
        <v>121871.69443217489</v>
      </c>
      <c r="J31" s="7">
        <f t="shared" si="1"/>
        <v>53267.284505793235</v>
      </c>
      <c r="K31" s="5">
        <f t="array" ref="K31">IF($A31&gt;horizon,"",INDEX(Main,30,4+$A31))</f>
        <v>0</v>
      </c>
      <c r="L31" s="6">
        <f t="array" ref="L31">IF($A31&gt;horizon,"",INDEX(Main,34,4+$A31))</f>
        <v>0</v>
      </c>
      <c r="M31" s="7">
        <f t="array" ref="M31">IF($A31&gt;horizon,"",INDEX(Main,35,4+$A31))</f>
        <v>0</v>
      </c>
      <c r="N31" s="7">
        <f t="shared" si="2"/>
        <v>0</v>
      </c>
      <c r="P31" s="11">
        <f t="shared" si="3"/>
        <v>-11175.2718769067</v>
      </c>
      <c r="Q31" s="11">
        <f t="shared" si="4"/>
        <v>-4884.4515477551467</v>
      </c>
    </row>
    <row r="32" spans="1:17" ht="12.75" customHeight="1" x14ac:dyDescent="0.25">
      <c r="A32" s="4">
        <v>29</v>
      </c>
      <c r="C32" s="5">
        <f t="array" ref="C32">IF($A32&gt;horizon,"",INDEX(Main,6,4+$A32))</f>
        <v>42787.897920747972</v>
      </c>
      <c r="D32" s="6">
        <f t="array" ref="D32">IF($A32&gt;horizon,"",INDEX(Main,10,4+$A32))</f>
        <v>71046.85216040918</v>
      </c>
      <c r="E32" s="7">
        <f t="array" ref="E32">IF($A32&gt;horizon,"",INDEX(Main,11,4+$A32))</f>
        <v>113834.75008115715</v>
      </c>
      <c r="F32" s="7">
        <f t="shared" si="0"/>
        <v>48305.362100426224</v>
      </c>
      <c r="G32" s="5">
        <f t="array" ref="G32">IF($A32&gt;horizon,"",INDEX(Main,18,4+$A32))</f>
        <v>0</v>
      </c>
      <c r="H32" s="6">
        <f t="array" ref="H32">IF($A32&gt;horizon,"",INDEX(Main,22,4+$A32))</f>
        <v>0</v>
      </c>
      <c r="I32" s="7">
        <f t="array" ref="I32">IF($A32&gt;horizon,"",INDEX(Main,23,4+$A32))</f>
        <v>0</v>
      </c>
      <c r="J32" s="7">
        <f t="shared" si="1"/>
        <v>0</v>
      </c>
      <c r="K32" s="5">
        <f t="array" ref="K32">IF($A32&gt;horizon,"",INDEX(Main,30,4+$A32))</f>
        <v>0</v>
      </c>
      <c r="L32" s="6">
        <f t="array" ref="L32">IF($A32&gt;horizon,"",INDEX(Main,34,4+$A32))</f>
        <v>0</v>
      </c>
      <c r="M32" s="7">
        <f t="array" ref="M32">IF($A32&gt;horizon,"",INDEX(Main,35,4+$A32))</f>
        <v>0</v>
      </c>
      <c r="N32" s="7">
        <f t="shared" si="2"/>
        <v>0</v>
      </c>
      <c r="P32" s="11">
        <f t="shared" si="3"/>
        <v>113834.75008115715</v>
      </c>
      <c r="Q32" s="11">
        <f t="shared" si="4"/>
        <v>48305.362100426224</v>
      </c>
    </row>
    <row r="33" spans="1:17" ht="12.75" customHeight="1" x14ac:dyDescent="0.25">
      <c r="A33" s="4">
        <v>30</v>
      </c>
      <c r="C33" s="5">
        <f t="array" ref="C33">IF($A33&gt;horizon,"",INDEX(Main,6,4+$A33))</f>
        <v>44499.413837577878</v>
      </c>
      <c r="D33" s="6">
        <f t="array" ref="D33">IF($A33&gt;horizon,"",INDEX(Main,10,4+$A33))</f>
        <v>72563.865643617377</v>
      </c>
      <c r="E33" s="7">
        <f t="array" ref="E33">IF($A33&gt;horizon,"",INDEX(Main,11,4+$A33))</f>
        <v>117063.27948119526</v>
      </c>
      <c r="F33" s="7">
        <f t="shared" si="0"/>
        <v>48228.521171762593</v>
      </c>
      <c r="G33" s="5">
        <f t="array" ref="G33">IF($A33&gt;horizon,"",INDEX(Main,18,4+$A33))</f>
        <v>0</v>
      </c>
      <c r="H33" s="6">
        <f t="array" ref="H33">IF($A33&gt;horizon,"",INDEX(Main,22,4+$A33))</f>
        <v>0</v>
      </c>
      <c r="I33" s="7">
        <f t="array" ref="I33">IF($A33&gt;horizon,"",INDEX(Main,23,4+$A33))</f>
        <v>0</v>
      </c>
      <c r="J33" s="7">
        <f t="shared" si="1"/>
        <v>0</v>
      </c>
      <c r="K33" s="5">
        <f t="array" ref="K33">IF($A33&gt;horizon,"",INDEX(Main,30,4+$A33))</f>
        <v>0</v>
      </c>
      <c r="L33" s="6">
        <f t="array" ref="L33">IF($A33&gt;horizon,"",INDEX(Main,34,4+$A33))</f>
        <v>0</v>
      </c>
      <c r="M33" s="7">
        <f t="array" ref="M33">IF($A33&gt;horizon,"",INDEX(Main,35,4+$A33))</f>
        <v>0</v>
      </c>
      <c r="N33" s="7">
        <f t="shared" si="2"/>
        <v>0</v>
      </c>
      <c r="P33" s="11">
        <f t="shared" si="3"/>
        <v>117063.27948119526</v>
      </c>
      <c r="Q33" s="11">
        <f t="shared" si="4"/>
        <v>48228.521171762593</v>
      </c>
    </row>
    <row r="34" spans="1:17" ht="12.75" customHeight="1" x14ac:dyDescent="0.25">
      <c r="C34" s="8">
        <f t="array" ref="C34">NPV(discrate,C4:C33)</f>
        <v>479769.60795930267</v>
      </c>
      <c r="D34" s="9">
        <f t="array" ref="D34">NPV(discrate,D4:D33)</f>
        <v>995937.64331825194</v>
      </c>
      <c r="E34" s="10">
        <f t="array" ref="E34">NPV(discrate,E4:E33)+'Life Cycle Costing'!E15</f>
        <v>4875707.2512775548</v>
      </c>
      <c r="F34" s="7">
        <f>'Life Cycle Costing'!E15+SUM('Detailed Results'!F4:F33)</f>
        <v>4875707.2512775557</v>
      </c>
      <c r="G34" s="8">
        <f t="array" ref="G34">NPV(discrate,G4:G33)</f>
        <v>0</v>
      </c>
      <c r="H34" s="9">
        <f t="array" ref="H34">NPV(discrate,H4:H33)</f>
        <v>420460.49019735074</v>
      </c>
      <c r="I34" s="10">
        <f t="array" ref="I34">NPV(discrate,I4:I33)+'Life Cycle Costing'!E27</f>
        <v>4570460.4901973512</v>
      </c>
      <c r="J34" s="7">
        <f>'Life Cycle Costing'!E27+SUM('Detailed Results'!J4:J33)</f>
        <v>4570460.4901973512</v>
      </c>
      <c r="K34" s="8">
        <f t="array" ref="K34">NPV(discrate,K4:K33)</f>
        <v>0</v>
      </c>
      <c r="L34" s="9">
        <f t="array" ref="L34">NPV(discrate,L4:L33)</f>
        <v>0</v>
      </c>
      <c r="M34" s="10">
        <f t="array" ref="M34">NPV(discrate,M4:M33)+'Life Cycle Costing'!E39</f>
        <v>0</v>
      </c>
      <c r="N34" s="7">
        <f>'Life Cycle Costing'!E39+SUM('Detailed Results'!N4:N33)</f>
        <v>0</v>
      </c>
    </row>
    <row r="35" spans="1:17" ht="12.75" customHeight="1" x14ac:dyDescent="0.25">
      <c r="C35" s="7"/>
    </row>
    <row r="36" spans="1:17" ht="12.75" customHeight="1" x14ac:dyDescent="0.25"/>
    <row r="37" spans="1:17" ht="12.75" customHeight="1" x14ac:dyDescent="0.25"/>
    <row r="38" spans="1:17" ht="12.75" customHeight="1" x14ac:dyDescent="0.25">
      <c r="P38" s="12"/>
    </row>
    <row r="39" spans="1:17" ht="12.75" customHeight="1" x14ac:dyDescent="0.25"/>
    <row r="40" spans="1:17" ht="12.75" customHeight="1" x14ac:dyDescent="0.25"/>
    <row r="41" spans="1:17" ht="12.75" customHeight="1" x14ac:dyDescent="0.25"/>
    <row r="42" spans="1:17" ht="12.75" customHeight="1" x14ac:dyDescent="0.25"/>
    <row r="43" spans="1:17" ht="12.75" customHeight="1" x14ac:dyDescent="0.25"/>
    <row r="44" spans="1:17" ht="12.75" customHeight="1" x14ac:dyDescent="0.25"/>
    <row r="45" spans="1:17" ht="12.75" customHeight="1" x14ac:dyDescent="0.25"/>
    <row r="46" spans="1:17" ht="12.75" customHeight="1" x14ac:dyDescent="0.25"/>
    <row r="47" spans="1:17" ht="12.75" customHeight="1" x14ac:dyDescent="0.25"/>
    <row r="48" spans="1:17" ht="12.75" customHeight="1" x14ac:dyDescent="0.25"/>
    <row r="49" ht="12.75" customHeight="1" x14ac:dyDescent="0.25"/>
    <row r="50" ht="12.75" customHeight="1" x14ac:dyDescent="0.25"/>
    <row r="51" ht="12.75" customHeight="1" x14ac:dyDescent="0.25"/>
    <row r="52" ht="12.75" customHeight="1" x14ac:dyDescent="0.25"/>
    <row r="53" ht="12.75" customHeight="1" x14ac:dyDescent="0.25"/>
    <row r="54" ht="12.75" customHeight="1" x14ac:dyDescent="0.25"/>
    <row r="55" ht="12.75" customHeight="1" x14ac:dyDescent="0.25"/>
    <row r="56" ht="12.75" customHeight="1" x14ac:dyDescent="0.25"/>
    <row r="57" ht="12.75" customHeight="1" x14ac:dyDescent="0.25"/>
    <row r="58" ht="12.75" customHeight="1" x14ac:dyDescent="0.25"/>
    <row r="59" ht="12.75" customHeight="1" x14ac:dyDescent="0.25"/>
    <row r="60" ht="12.75" customHeight="1" x14ac:dyDescent="0.25"/>
    <row r="61" ht="12.75" customHeight="1" x14ac:dyDescent="0.25"/>
    <row r="62" ht="12.75" customHeight="1" x14ac:dyDescent="0.25"/>
    <row r="63" ht="12.75" customHeight="1" x14ac:dyDescent="0.25"/>
    <row r="64" ht="12.75" customHeight="1" x14ac:dyDescent="0.25"/>
    <row r="65" ht="12.75" customHeight="1" x14ac:dyDescent="0.25"/>
    <row r="66" ht="12.75" customHeight="1" x14ac:dyDescent="0.25"/>
    <row r="67" ht="12.75" customHeight="1" x14ac:dyDescent="0.25"/>
    <row r="68" ht="12.75" customHeight="1" x14ac:dyDescent="0.25"/>
    <row r="69" ht="12.75" customHeight="1" x14ac:dyDescent="0.25"/>
    <row r="70" ht="12.75" customHeight="1" x14ac:dyDescent="0.25"/>
    <row r="71" ht="12.75" customHeight="1" x14ac:dyDescent="0.25"/>
    <row r="72" ht="12.75" customHeight="1" x14ac:dyDescent="0.25"/>
    <row r="73" ht="12.75" customHeight="1" x14ac:dyDescent="0.25"/>
    <row r="74" ht="12.75" customHeight="1" x14ac:dyDescent="0.25"/>
    <row r="75" ht="12.75" customHeight="1" x14ac:dyDescent="0.25"/>
    <row r="76" ht="12.75" customHeight="1" x14ac:dyDescent="0.25"/>
    <row r="77" ht="12.75" customHeight="1" x14ac:dyDescent="0.25"/>
    <row r="78" ht="12.75" customHeight="1" x14ac:dyDescent="0.25"/>
    <row r="79" ht="12.75" customHeight="1" x14ac:dyDescent="0.25"/>
    <row r="80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2.75" customHeight="1" x14ac:dyDescent="0.25"/>
    <row r="92" ht="12.75" customHeight="1" x14ac:dyDescent="0.25"/>
    <row r="93" ht="12.75" customHeight="1" x14ac:dyDescent="0.25"/>
    <row r="94" ht="12.75" customHeight="1" x14ac:dyDescent="0.25"/>
    <row r="95" ht="12.75" customHeight="1" x14ac:dyDescent="0.25"/>
    <row r="96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2.75" customHeight="1" x14ac:dyDescent="0.25"/>
    <row r="336" ht="12.75" customHeight="1" x14ac:dyDescent="0.25"/>
    <row r="337" ht="12.75" customHeight="1" x14ac:dyDescent="0.25"/>
    <row r="338" ht="12.75" customHeight="1" x14ac:dyDescent="0.25"/>
    <row r="339" ht="12.75" customHeight="1" x14ac:dyDescent="0.25"/>
    <row r="340" ht="12.75" customHeight="1" x14ac:dyDescent="0.25"/>
    <row r="341" ht="12.75" customHeight="1" x14ac:dyDescent="0.25"/>
    <row r="342" ht="12.75" customHeight="1" x14ac:dyDescent="0.25"/>
    <row r="343" ht="12.75" customHeight="1" x14ac:dyDescent="0.25"/>
    <row r="344" ht="12.75" customHeight="1" x14ac:dyDescent="0.25"/>
    <row r="345" ht="12.75" customHeight="1" x14ac:dyDescent="0.25"/>
    <row r="346" ht="12.75" customHeight="1" x14ac:dyDescent="0.25"/>
    <row r="347" ht="12.75" customHeight="1" x14ac:dyDescent="0.25"/>
    <row r="348" ht="12.75" customHeight="1" x14ac:dyDescent="0.25"/>
    <row r="349" ht="12.75" customHeight="1" x14ac:dyDescent="0.25"/>
    <row r="350" ht="12.75" customHeight="1" x14ac:dyDescent="0.25"/>
    <row r="351" ht="12.75" customHeight="1" x14ac:dyDescent="0.25"/>
    <row r="352" ht="12.75" customHeight="1" x14ac:dyDescent="0.25"/>
    <row r="353" ht="12.75" customHeight="1" x14ac:dyDescent="0.25"/>
    <row r="354" ht="12.75" customHeight="1" x14ac:dyDescent="0.25"/>
    <row r="355" ht="12.75" customHeight="1" x14ac:dyDescent="0.25"/>
    <row r="356" ht="12.75" customHeight="1" x14ac:dyDescent="0.25"/>
    <row r="357" ht="12.75" customHeight="1" x14ac:dyDescent="0.25"/>
    <row r="358" ht="12.75" customHeight="1" x14ac:dyDescent="0.25"/>
    <row r="359" ht="12.75" customHeight="1" x14ac:dyDescent="0.25"/>
    <row r="360" ht="12.75" customHeight="1" x14ac:dyDescent="0.25"/>
    <row r="361" ht="12.75" customHeight="1" x14ac:dyDescent="0.25"/>
    <row r="362" ht="12.75" customHeight="1" x14ac:dyDescent="0.25"/>
    <row r="363" ht="12.75" customHeight="1" x14ac:dyDescent="0.25"/>
    <row r="364" ht="12.75" customHeight="1" x14ac:dyDescent="0.25"/>
    <row r="365" ht="12.75" customHeight="1" x14ac:dyDescent="0.25"/>
    <row r="366" ht="12.75" customHeight="1" x14ac:dyDescent="0.25"/>
    <row r="367" ht="12.75" customHeight="1" x14ac:dyDescent="0.25"/>
    <row r="368" ht="12.75" customHeight="1" x14ac:dyDescent="0.25"/>
    <row r="369" ht="12.75" customHeight="1" x14ac:dyDescent="0.25"/>
    <row r="370" ht="12.75" customHeight="1" x14ac:dyDescent="0.25"/>
    <row r="371" ht="12.75" customHeight="1" x14ac:dyDescent="0.25"/>
    <row r="372" ht="12.75" customHeight="1" x14ac:dyDescent="0.25"/>
    <row r="373" ht="12.75" customHeight="1" x14ac:dyDescent="0.25"/>
    <row r="374" ht="12.75" customHeight="1" x14ac:dyDescent="0.25"/>
    <row r="375" ht="12.75" customHeight="1" x14ac:dyDescent="0.25"/>
    <row r="376" ht="12.75" customHeight="1" x14ac:dyDescent="0.25"/>
    <row r="377" ht="12.75" customHeight="1" x14ac:dyDescent="0.25"/>
    <row r="378" ht="12.75" customHeight="1" x14ac:dyDescent="0.25"/>
    <row r="379" ht="12.75" customHeight="1" x14ac:dyDescent="0.25"/>
    <row r="380" ht="12.75" customHeight="1" x14ac:dyDescent="0.25"/>
    <row r="381" ht="12.75" customHeight="1" x14ac:dyDescent="0.25"/>
    <row r="382" ht="12.75" customHeight="1" x14ac:dyDescent="0.25"/>
    <row r="383" ht="12.75" customHeight="1" x14ac:dyDescent="0.25"/>
    <row r="38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  <row r="597" ht="12.75" customHeight="1" x14ac:dyDescent="0.25"/>
    <row r="598" ht="12.75" customHeight="1" x14ac:dyDescent="0.25"/>
    <row r="599" ht="12.75" customHeight="1" x14ac:dyDescent="0.25"/>
    <row r="600" ht="12.75" customHeight="1" x14ac:dyDescent="0.25"/>
    <row r="601" ht="12.75" customHeight="1" x14ac:dyDescent="0.25"/>
    <row r="602" ht="12.75" customHeight="1" x14ac:dyDescent="0.25"/>
    <row r="603" ht="12.75" customHeight="1" x14ac:dyDescent="0.25"/>
    <row r="604" ht="12.75" customHeight="1" x14ac:dyDescent="0.25"/>
    <row r="605" ht="12.75" customHeight="1" x14ac:dyDescent="0.25"/>
    <row r="606" ht="12.75" customHeight="1" x14ac:dyDescent="0.25"/>
    <row r="607" ht="12.75" customHeight="1" x14ac:dyDescent="0.25"/>
    <row r="608" ht="12.75" customHeight="1" x14ac:dyDescent="0.25"/>
    <row r="609" ht="12.75" customHeight="1" x14ac:dyDescent="0.25"/>
    <row r="610" ht="12.75" customHeight="1" x14ac:dyDescent="0.25"/>
    <row r="611" ht="12.75" customHeight="1" x14ac:dyDescent="0.25"/>
    <row r="612" ht="12.75" customHeight="1" x14ac:dyDescent="0.25"/>
    <row r="613" ht="12.75" customHeight="1" x14ac:dyDescent="0.25"/>
    <row r="614" ht="12.75" customHeight="1" x14ac:dyDescent="0.25"/>
    <row r="615" ht="12.75" customHeight="1" x14ac:dyDescent="0.25"/>
    <row r="616" ht="12.75" customHeight="1" x14ac:dyDescent="0.25"/>
    <row r="617" ht="12.75" customHeight="1" x14ac:dyDescent="0.25"/>
    <row r="618" ht="12.75" customHeight="1" x14ac:dyDescent="0.25"/>
    <row r="619" ht="12.75" customHeight="1" x14ac:dyDescent="0.25"/>
    <row r="620" ht="12.75" customHeight="1" x14ac:dyDescent="0.25"/>
    <row r="621" ht="12.75" customHeight="1" x14ac:dyDescent="0.25"/>
    <row r="622" ht="12.75" customHeight="1" x14ac:dyDescent="0.25"/>
    <row r="623" ht="12.75" customHeight="1" x14ac:dyDescent="0.25"/>
    <row r="624" ht="12.75" customHeight="1" x14ac:dyDescent="0.25"/>
    <row r="625" ht="12.75" customHeight="1" x14ac:dyDescent="0.25"/>
    <row r="626" ht="12.75" customHeight="1" x14ac:dyDescent="0.25"/>
    <row r="627" ht="12.75" customHeight="1" x14ac:dyDescent="0.25"/>
    <row r="628" ht="12.75" customHeight="1" x14ac:dyDescent="0.25"/>
    <row r="629" ht="12.75" customHeight="1" x14ac:dyDescent="0.25"/>
    <row r="630" ht="12.75" customHeight="1" x14ac:dyDescent="0.25"/>
    <row r="631" ht="12.75" customHeight="1" x14ac:dyDescent="0.25"/>
    <row r="632" ht="12.75" customHeight="1" x14ac:dyDescent="0.25"/>
    <row r="633" ht="12.75" customHeight="1" x14ac:dyDescent="0.25"/>
    <row r="634" ht="12.75" customHeight="1" x14ac:dyDescent="0.25"/>
    <row r="635" ht="12.75" customHeight="1" x14ac:dyDescent="0.25"/>
    <row r="636" ht="12.75" customHeight="1" x14ac:dyDescent="0.25"/>
    <row r="637" ht="12.75" customHeight="1" x14ac:dyDescent="0.25"/>
    <row r="638" ht="12.75" customHeight="1" x14ac:dyDescent="0.25"/>
    <row r="639" ht="12.75" customHeight="1" x14ac:dyDescent="0.25"/>
    <row r="640" ht="12.75" customHeight="1" x14ac:dyDescent="0.25"/>
    <row r="641" ht="12.75" customHeight="1" x14ac:dyDescent="0.25"/>
    <row r="642" ht="12.75" customHeight="1" x14ac:dyDescent="0.25"/>
    <row r="643" ht="12.75" customHeight="1" x14ac:dyDescent="0.25"/>
    <row r="644" ht="12.75" customHeight="1" x14ac:dyDescent="0.25"/>
    <row r="645" ht="12.75" customHeight="1" x14ac:dyDescent="0.25"/>
    <row r="646" ht="12.75" customHeight="1" x14ac:dyDescent="0.25"/>
    <row r="647" ht="12.75" customHeight="1" x14ac:dyDescent="0.25"/>
    <row r="648" ht="12.75" customHeight="1" x14ac:dyDescent="0.25"/>
    <row r="649" ht="12.75" customHeight="1" x14ac:dyDescent="0.25"/>
    <row r="650" ht="12.75" customHeight="1" x14ac:dyDescent="0.25"/>
    <row r="651" ht="12.75" customHeight="1" x14ac:dyDescent="0.25"/>
    <row r="652" ht="12.75" customHeight="1" x14ac:dyDescent="0.25"/>
    <row r="653" ht="12.75" customHeight="1" x14ac:dyDescent="0.25"/>
    <row r="654" ht="12.75" customHeight="1" x14ac:dyDescent="0.25"/>
    <row r="655" ht="12.75" customHeight="1" x14ac:dyDescent="0.25"/>
    <row r="656" ht="12.75" customHeight="1" x14ac:dyDescent="0.25"/>
    <row r="657" ht="12.75" customHeight="1" x14ac:dyDescent="0.25"/>
    <row r="658" ht="12.75" customHeight="1" x14ac:dyDescent="0.25"/>
    <row r="659" ht="12.75" customHeight="1" x14ac:dyDescent="0.25"/>
    <row r="660" ht="12.75" customHeight="1" x14ac:dyDescent="0.25"/>
    <row r="661" ht="12.75" customHeight="1" x14ac:dyDescent="0.25"/>
    <row r="662" ht="12.75" customHeight="1" x14ac:dyDescent="0.25"/>
    <row r="663" ht="12.75" customHeight="1" x14ac:dyDescent="0.25"/>
    <row r="664" ht="12.75" customHeight="1" x14ac:dyDescent="0.25"/>
    <row r="665" ht="12.75" customHeight="1" x14ac:dyDescent="0.25"/>
    <row r="666" ht="12.75" customHeight="1" x14ac:dyDescent="0.25"/>
    <row r="667" ht="12.75" customHeight="1" x14ac:dyDescent="0.25"/>
    <row r="668" ht="12.75" customHeight="1" x14ac:dyDescent="0.25"/>
    <row r="669" ht="12.75" customHeight="1" x14ac:dyDescent="0.25"/>
    <row r="670" ht="12.75" customHeight="1" x14ac:dyDescent="0.25"/>
    <row r="671" ht="12.75" customHeight="1" x14ac:dyDescent="0.25"/>
    <row r="672" ht="12.75" customHeight="1" x14ac:dyDescent="0.25"/>
    <row r="673" ht="12.75" customHeight="1" x14ac:dyDescent="0.25"/>
    <row r="674" ht="12.75" customHeight="1" x14ac:dyDescent="0.25"/>
    <row r="675" ht="12.75" customHeight="1" x14ac:dyDescent="0.25"/>
    <row r="676" ht="12.75" customHeight="1" x14ac:dyDescent="0.25"/>
    <row r="677" ht="12.75" customHeight="1" x14ac:dyDescent="0.25"/>
    <row r="678" ht="12.75" customHeight="1" x14ac:dyDescent="0.25"/>
    <row r="679" ht="12.75" customHeight="1" x14ac:dyDescent="0.25"/>
    <row r="680" ht="12.75" customHeight="1" x14ac:dyDescent="0.25"/>
    <row r="681" ht="12.75" customHeight="1" x14ac:dyDescent="0.25"/>
    <row r="682" ht="12.75" customHeight="1" x14ac:dyDescent="0.25"/>
    <row r="683" ht="12.75" customHeight="1" x14ac:dyDescent="0.25"/>
    <row r="684" ht="12.75" customHeight="1" x14ac:dyDescent="0.25"/>
    <row r="685" ht="12.75" customHeight="1" x14ac:dyDescent="0.25"/>
    <row r="686" ht="12.75" customHeight="1" x14ac:dyDescent="0.25"/>
    <row r="687" ht="12.75" customHeight="1" x14ac:dyDescent="0.25"/>
    <row r="688" ht="12.75" customHeight="1" x14ac:dyDescent="0.25"/>
    <row r="689" ht="12.75" customHeight="1" x14ac:dyDescent="0.25"/>
    <row r="690" ht="12.75" customHeight="1" x14ac:dyDescent="0.25"/>
    <row r="691" ht="12.75" customHeight="1" x14ac:dyDescent="0.25"/>
    <row r="692" ht="12.75" customHeight="1" x14ac:dyDescent="0.25"/>
    <row r="693" ht="12.75" customHeight="1" x14ac:dyDescent="0.25"/>
    <row r="694" ht="12.75" customHeight="1" x14ac:dyDescent="0.25"/>
    <row r="695" ht="12.75" customHeight="1" x14ac:dyDescent="0.25"/>
    <row r="696" ht="12.75" customHeight="1" x14ac:dyDescent="0.25"/>
    <row r="697" ht="12.75" customHeight="1" x14ac:dyDescent="0.25"/>
    <row r="698" ht="12.75" customHeight="1" x14ac:dyDescent="0.25"/>
    <row r="699" ht="12.75" customHeight="1" x14ac:dyDescent="0.25"/>
    <row r="700" ht="12.75" customHeight="1" x14ac:dyDescent="0.25"/>
    <row r="701" ht="12.75" customHeight="1" x14ac:dyDescent="0.25"/>
    <row r="702" ht="12.75" customHeight="1" x14ac:dyDescent="0.25"/>
    <row r="703" ht="12.75" customHeight="1" x14ac:dyDescent="0.25"/>
    <row r="704" ht="12.75" customHeight="1" x14ac:dyDescent="0.25"/>
    <row r="705" ht="12.75" customHeight="1" x14ac:dyDescent="0.25"/>
    <row r="706" ht="12.75" customHeight="1" x14ac:dyDescent="0.25"/>
    <row r="707" ht="12.75" customHeight="1" x14ac:dyDescent="0.25"/>
    <row r="708" ht="12.75" customHeight="1" x14ac:dyDescent="0.25"/>
    <row r="709" ht="12.75" customHeight="1" x14ac:dyDescent="0.25"/>
    <row r="710" ht="12.75" customHeight="1" x14ac:dyDescent="0.25"/>
    <row r="711" ht="12.75" customHeight="1" x14ac:dyDescent="0.25"/>
    <row r="712" ht="12.75" customHeight="1" x14ac:dyDescent="0.25"/>
    <row r="713" ht="12.75" customHeight="1" x14ac:dyDescent="0.25"/>
    <row r="714" ht="12.75" customHeight="1" x14ac:dyDescent="0.25"/>
    <row r="715" ht="12.75" customHeight="1" x14ac:dyDescent="0.25"/>
    <row r="716" ht="12.75" customHeight="1" x14ac:dyDescent="0.25"/>
    <row r="717" ht="12.75" customHeight="1" x14ac:dyDescent="0.25"/>
    <row r="718" ht="12.75" customHeight="1" x14ac:dyDescent="0.25"/>
    <row r="719" ht="12.75" customHeight="1" x14ac:dyDescent="0.25"/>
    <row r="720" ht="12.75" customHeight="1" x14ac:dyDescent="0.25"/>
    <row r="721" ht="12.75" customHeight="1" x14ac:dyDescent="0.25"/>
    <row r="722" ht="12.75" customHeight="1" x14ac:dyDescent="0.25"/>
    <row r="723" ht="12.75" customHeight="1" x14ac:dyDescent="0.25"/>
    <row r="724" ht="12.75" customHeight="1" x14ac:dyDescent="0.25"/>
    <row r="725" ht="12.75" customHeight="1" x14ac:dyDescent="0.25"/>
    <row r="726" ht="12.75" customHeight="1" x14ac:dyDescent="0.25"/>
    <row r="727" ht="12.75" customHeight="1" x14ac:dyDescent="0.25"/>
    <row r="728" ht="12.75" customHeight="1" x14ac:dyDescent="0.25"/>
    <row r="729" ht="12.75" customHeight="1" x14ac:dyDescent="0.25"/>
    <row r="730" ht="12.75" customHeight="1" x14ac:dyDescent="0.25"/>
    <row r="731" ht="12.75" customHeight="1" x14ac:dyDescent="0.25"/>
    <row r="732" ht="12.75" customHeight="1" x14ac:dyDescent="0.25"/>
    <row r="733" ht="12.75" customHeight="1" x14ac:dyDescent="0.25"/>
    <row r="734" ht="12.75" customHeight="1" x14ac:dyDescent="0.25"/>
    <row r="735" ht="12.75" customHeight="1" x14ac:dyDescent="0.25"/>
    <row r="736" ht="12.75" customHeight="1" x14ac:dyDescent="0.25"/>
    <row r="737" ht="12.75" customHeight="1" x14ac:dyDescent="0.25"/>
    <row r="738" ht="12.75" customHeight="1" x14ac:dyDescent="0.25"/>
    <row r="739" ht="12.75" customHeight="1" x14ac:dyDescent="0.25"/>
    <row r="740" ht="12.75" customHeight="1" x14ac:dyDescent="0.25"/>
    <row r="741" ht="12.75" customHeight="1" x14ac:dyDescent="0.25"/>
    <row r="742" ht="12.75" customHeight="1" x14ac:dyDescent="0.25"/>
    <row r="743" ht="12.75" customHeight="1" x14ac:dyDescent="0.25"/>
    <row r="744" ht="12.75" customHeight="1" x14ac:dyDescent="0.25"/>
    <row r="745" ht="12.75" customHeight="1" x14ac:dyDescent="0.25"/>
    <row r="746" ht="12.75" customHeight="1" x14ac:dyDescent="0.25"/>
    <row r="747" ht="12.75" customHeight="1" x14ac:dyDescent="0.25"/>
    <row r="748" ht="12.75" customHeight="1" x14ac:dyDescent="0.25"/>
    <row r="749" ht="12.75" customHeight="1" x14ac:dyDescent="0.25"/>
    <row r="750" ht="12.75" customHeight="1" x14ac:dyDescent="0.25"/>
    <row r="751" ht="12.75" customHeight="1" x14ac:dyDescent="0.25"/>
    <row r="752" ht="12.75" customHeight="1" x14ac:dyDescent="0.25"/>
    <row r="753" ht="12.75" customHeight="1" x14ac:dyDescent="0.25"/>
    <row r="754" ht="12.75" customHeight="1" x14ac:dyDescent="0.25"/>
    <row r="755" ht="12.75" customHeight="1" x14ac:dyDescent="0.25"/>
    <row r="756" ht="12.75" customHeight="1" x14ac:dyDescent="0.25"/>
    <row r="757" ht="12.75" customHeight="1" x14ac:dyDescent="0.25"/>
    <row r="758" ht="12.75" customHeight="1" x14ac:dyDescent="0.25"/>
    <row r="759" ht="12.75" customHeight="1" x14ac:dyDescent="0.25"/>
    <row r="760" ht="12.75" customHeight="1" x14ac:dyDescent="0.25"/>
    <row r="761" ht="12.75" customHeight="1" x14ac:dyDescent="0.25"/>
    <row r="762" ht="12.75" customHeight="1" x14ac:dyDescent="0.25"/>
    <row r="763" ht="12.75" customHeight="1" x14ac:dyDescent="0.25"/>
    <row r="764" ht="12.75" customHeight="1" x14ac:dyDescent="0.25"/>
    <row r="765" ht="12.75" customHeight="1" x14ac:dyDescent="0.25"/>
    <row r="766" ht="12.75" customHeight="1" x14ac:dyDescent="0.25"/>
    <row r="767" ht="12.75" customHeight="1" x14ac:dyDescent="0.25"/>
    <row r="768" ht="12.75" customHeight="1" x14ac:dyDescent="0.25"/>
    <row r="769" ht="12.75" customHeight="1" x14ac:dyDescent="0.25"/>
    <row r="770" ht="12.75" customHeight="1" x14ac:dyDescent="0.25"/>
    <row r="771" ht="12.75" customHeight="1" x14ac:dyDescent="0.25"/>
    <row r="772" ht="12.75" customHeight="1" x14ac:dyDescent="0.25"/>
    <row r="773" ht="12.75" customHeight="1" x14ac:dyDescent="0.25"/>
    <row r="774" ht="12.75" customHeight="1" x14ac:dyDescent="0.25"/>
    <row r="775" ht="12.75" customHeight="1" x14ac:dyDescent="0.25"/>
    <row r="776" ht="12.75" customHeight="1" x14ac:dyDescent="0.25"/>
    <row r="777" ht="12.75" customHeight="1" x14ac:dyDescent="0.25"/>
    <row r="778" ht="12.75" customHeight="1" x14ac:dyDescent="0.25"/>
    <row r="779" ht="12.75" customHeight="1" x14ac:dyDescent="0.25"/>
    <row r="780" ht="12.75" customHeight="1" x14ac:dyDescent="0.25"/>
    <row r="781" ht="12.75" customHeight="1" x14ac:dyDescent="0.25"/>
    <row r="782" ht="12.75" customHeight="1" x14ac:dyDescent="0.25"/>
    <row r="783" ht="12.75" customHeight="1" x14ac:dyDescent="0.25"/>
    <row r="784" ht="12.75" customHeight="1" x14ac:dyDescent="0.25"/>
    <row r="785" ht="12.75" customHeight="1" x14ac:dyDescent="0.25"/>
    <row r="786" ht="12.75" customHeight="1" x14ac:dyDescent="0.25"/>
    <row r="787" ht="12.75" customHeight="1" x14ac:dyDescent="0.25"/>
    <row r="788" ht="12.75" customHeight="1" x14ac:dyDescent="0.25"/>
    <row r="789" ht="12.75" customHeight="1" x14ac:dyDescent="0.25"/>
    <row r="790" ht="12.75" customHeight="1" x14ac:dyDescent="0.25"/>
    <row r="791" ht="12.75" customHeight="1" x14ac:dyDescent="0.25"/>
    <row r="792" ht="12.75" customHeight="1" x14ac:dyDescent="0.25"/>
    <row r="793" ht="12.75" customHeight="1" x14ac:dyDescent="0.25"/>
    <row r="794" ht="12.75" customHeight="1" x14ac:dyDescent="0.25"/>
    <row r="795" ht="12.75" customHeight="1" x14ac:dyDescent="0.25"/>
    <row r="796" ht="12.75" customHeight="1" x14ac:dyDescent="0.25"/>
    <row r="797" ht="12.75" customHeight="1" x14ac:dyDescent="0.25"/>
    <row r="798" ht="12.75" customHeight="1" x14ac:dyDescent="0.25"/>
    <row r="799" ht="12.75" customHeight="1" x14ac:dyDescent="0.25"/>
    <row r="800" ht="12.75" customHeight="1" x14ac:dyDescent="0.25"/>
    <row r="801" ht="12.75" customHeight="1" x14ac:dyDescent="0.25"/>
    <row r="802" ht="12.75" customHeight="1" x14ac:dyDescent="0.25"/>
    <row r="803" ht="12.75" customHeight="1" x14ac:dyDescent="0.25"/>
    <row r="804" ht="12.75" customHeight="1" x14ac:dyDescent="0.25"/>
    <row r="805" ht="12.75" customHeight="1" x14ac:dyDescent="0.25"/>
    <row r="806" ht="12.75" customHeight="1" x14ac:dyDescent="0.25"/>
    <row r="807" ht="12.75" customHeight="1" x14ac:dyDescent="0.25"/>
    <row r="808" ht="12.75" customHeight="1" x14ac:dyDescent="0.25"/>
    <row r="809" ht="12.75" customHeight="1" x14ac:dyDescent="0.25"/>
    <row r="810" ht="12.75" customHeight="1" x14ac:dyDescent="0.25"/>
    <row r="811" ht="12.75" customHeight="1" x14ac:dyDescent="0.25"/>
    <row r="812" ht="12.75" customHeight="1" x14ac:dyDescent="0.25"/>
    <row r="813" ht="12.75" customHeight="1" x14ac:dyDescent="0.25"/>
    <row r="814" ht="12.75" customHeight="1" x14ac:dyDescent="0.25"/>
    <row r="815" ht="12.75" customHeight="1" x14ac:dyDescent="0.25"/>
    <row r="816" ht="12.75" customHeight="1" x14ac:dyDescent="0.25"/>
    <row r="817" ht="12.75" customHeight="1" x14ac:dyDescent="0.25"/>
    <row r="818" ht="12.75" customHeight="1" x14ac:dyDescent="0.25"/>
    <row r="819" ht="12.75" customHeight="1" x14ac:dyDescent="0.25"/>
    <row r="820" ht="12.75" customHeight="1" x14ac:dyDescent="0.25"/>
    <row r="821" ht="12.75" customHeight="1" x14ac:dyDescent="0.25"/>
    <row r="822" ht="12.75" customHeight="1" x14ac:dyDescent="0.25"/>
    <row r="823" ht="12.75" customHeight="1" x14ac:dyDescent="0.25"/>
    <row r="824" ht="12.75" customHeight="1" x14ac:dyDescent="0.25"/>
    <row r="825" ht="12.75" customHeight="1" x14ac:dyDescent="0.25"/>
    <row r="826" ht="12.75" customHeight="1" x14ac:dyDescent="0.25"/>
    <row r="827" ht="12.75" customHeight="1" x14ac:dyDescent="0.25"/>
    <row r="828" ht="12.75" customHeight="1" x14ac:dyDescent="0.25"/>
    <row r="829" ht="12.75" customHeight="1" x14ac:dyDescent="0.25"/>
    <row r="830" ht="12.75" customHeight="1" x14ac:dyDescent="0.25"/>
    <row r="831" ht="12.75" customHeight="1" x14ac:dyDescent="0.25"/>
    <row r="832" ht="12.75" customHeight="1" x14ac:dyDescent="0.25"/>
    <row r="833" ht="12.75" customHeight="1" x14ac:dyDescent="0.25"/>
    <row r="834" ht="12.75" customHeight="1" x14ac:dyDescent="0.25"/>
    <row r="835" ht="12.75" customHeight="1" x14ac:dyDescent="0.25"/>
    <row r="836" ht="12.75" customHeight="1" x14ac:dyDescent="0.25"/>
    <row r="837" ht="12.75" customHeight="1" x14ac:dyDescent="0.25"/>
    <row r="838" ht="12.75" customHeight="1" x14ac:dyDescent="0.25"/>
    <row r="839" ht="12.75" customHeight="1" x14ac:dyDescent="0.25"/>
    <row r="840" ht="12.75" customHeight="1" x14ac:dyDescent="0.25"/>
    <row r="841" ht="12.75" customHeight="1" x14ac:dyDescent="0.25"/>
    <row r="842" ht="12.75" customHeight="1" x14ac:dyDescent="0.25"/>
    <row r="843" ht="12.75" customHeight="1" x14ac:dyDescent="0.25"/>
    <row r="844" ht="12.75" customHeight="1" x14ac:dyDescent="0.25"/>
    <row r="845" ht="12.75" customHeight="1" x14ac:dyDescent="0.25"/>
    <row r="846" ht="12.75" customHeight="1" x14ac:dyDescent="0.25"/>
    <row r="847" ht="12.75" customHeight="1" x14ac:dyDescent="0.25"/>
    <row r="848" ht="12.75" customHeight="1" x14ac:dyDescent="0.25"/>
    <row r="849" ht="12.75" customHeight="1" x14ac:dyDescent="0.25"/>
    <row r="850" ht="12.75" customHeight="1" x14ac:dyDescent="0.25"/>
    <row r="851" ht="12.75" customHeight="1" x14ac:dyDescent="0.25"/>
    <row r="852" ht="12.75" customHeight="1" x14ac:dyDescent="0.25"/>
    <row r="853" ht="12.75" customHeight="1" x14ac:dyDescent="0.25"/>
    <row r="854" ht="12.75" customHeight="1" x14ac:dyDescent="0.25"/>
    <row r="855" ht="12.75" customHeight="1" x14ac:dyDescent="0.25"/>
    <row r="856" ht="12.75" customHeight="1" x14ac:dyDescent="0.25"/>
    <row r="857" ht="12.75" customHeight="1" x14ac:dyDescent="0.25"/>
    <row r="858" ht="12.75" customHeight="1" x14ac:dyDescent="0.25"/>
    <row r="859" ht="12.75" customHeight="1" x14ac:dyDescent="0.25"/>
    <row r="860" ht="12.75" customHeight="1" x14ac:dyDescent="0.25"/>
    <row r="861" ht="12.75" customHeight="1" x14ac:dyDescent="0.25"/>
    <row r="862" ht="12.75" customHeight="1" x14ac:dyDescent="0.25"/>
    <row r="863" ht="12.75" customHeight="1" x14ac:dyDescent="0.25"/>
    <row r="864" ht="12.75" customHeight="1" x14ac:dyDescent="0.25"/>
    <row r="865" ht="12.75" customHeight="1" x14ac:dyDescent="0.25"/>
    <row r="866" ht="12.75" customHeight="1" x14ac:dyDescent="0.25"/>
    <row r="867" ht="12.75" customHeight="1" x14ac:dyDescent="0.25"/>
    <row r="868" ht="12.75" customHeight="1" x14ac:dyDescent="0.25"/>
    <row r="869" ht="12.75" customHeight="1" x14ac:dyDescent="0.25"/>
    <row r="870" ht="12.75" customHeight="1" x14ac:dyDescent="0.25"/>
    <row r="871" ht="12.75" customHeight="1" x14ac:dyDescent="0.25"/>
    <row r="872" ht="12.75" customHeight="1" x14ac:dyDescent="0.25"/>
    <row r="873" ht="12.75" customHeight="1" x14ac:dyDescent="0.25"/>
    <row r="874" ht="12.75" customHeight="1" x14ac:dyDescent="0.25"/>
    <row r="875" ht="12.75" customHeight="1" x14ac:dyDescent="0.25"/>
    <row r="876" ht="12.75" customHeight="1" x14ac:dyDescent="0.25"/>
    <row r="877" ht="12.75" customHeight="1" x14ac:dyDescent="0.25"/>
    <row r="878" ht="12.75" customHeight="1" x14ac:dyDescent="0.25"/>
    <row r="879" ht="12.75" customHeight="1" x14ac:dyDescent="0.25"/>
    <row r="880" ht="12.75" customHeight="1" x14ac:dyDescent="0.25"/>
    <row r="881" ht="12.75" customHeight="1" x14ac:dyDescent="0.25"/>
    <row r="882" ht="12.75" customHeight="1" x14ac:dyDescent="0.25"/>
    <row r="883" ht="12.75" customHeight="1" x14ac:dyDescent="0.25"/>
    <row r="884" ht="12.75" customHeight="1" x14ac:dyDescent="0.25"/>
    <row r="885" ht="12.75" customHeight="1" x14ac:dyDescent="0.25"/>
    <row r="886" ht="12.75" customHeight="1" x14ac:dyDescent="0.25"/>
    <row r="887" ht="12.75" customHeight="1" x14ac:dyDescent="0.25"/>
    <row r="888" ht="12.75" customHeight="1" x14ac:dyDescent="0.25"/>
    <row r="889" ht="12.75" customHeight="1" x14ac:dyDescent="0.25"/>
    <row r="890" ht="12.75" customHeight="1" x14ac:dyDescent="0.25"/>
    <row r="891" ht="12.75" customHeight="1" x14ac:dyDescent="0.25"/>
    <row r="892" ht="12.75" customHeight="1" x14ac:dyDescent="0.25"/>
    <row r="893" ht="12.75" customHeight="1" x14ac:dyDescent="0.25"/>
    <row r="894" ht="12.75" customHeight="1" x14ac:dyDescent="0.25"/>
    <row r="895" ht="12.75" customHeight="1" x14ac:dyDescent="0.25"/>
    <row r="896" ht="12.75" customHeight="1" x14ac:dyDescent="0.25"/>
    <row r="897" ht="12.75" customHeight="1" x14ac:dyDescent="0.25"/>
    <row r="898" ht="12.75" customHeight="1" x14ac:dyDescent="0.25"/>
    <row r="899" ht="12.75" customHeight="1" x14ac:dyDescent="0.25"/>
    <row r="900" ht="12.75" customHeight="1" x14ac:dyDescent="0.25"/>
    <row r="901" ht="12.75" customHeight="1" x14ac:dyDescent="0.25"/>
    <row r="902" ht="12.75" customHeight="1" x14ac:dyDescent="0.25"/>
    <row r="903" ht="12.75" customHeight="1" x14ac:dyDescent="0.25"/>
    <row r="904" ht="12.75" customHeight="1" x14ac:dyDescent="0.25"/>
    <row r="905" ht="12.75" customHeight="1" x14ac:dyDescent="0.25"/>
    <row r="906" ht="12.75" customHeight="1" x14ac:dyDescent="0.25"/>
    <row r="907" ht="12.75" customHeight="1" x14ac:dyDescent="0.25"/>
    <row r="908" ht="12.75" customHeight="1" x14ac:dyDescent="0.25"/>
    <row r="909" ht="12.75" customHeight="1" x14ac:dyDescent="0.25"/>
    <row r="910" ht="12.75" customHeight="1" x14ac:dyDescent="0.25"/>
    <row r="911" ht="12.75" customHeight="1" x14ac:dyDescent="0.25"/>
    <row r="912" ht="12.75" customHeight="1" x14ac:dyDescent="0.25"/>
    <row r="913" ht="12.75" customHeight="1" x14ac:dyDescent="0.25"/>
    <row r="914" ht="12.75" customHeight="1" x14ac:dyDescent="0.25"/>
    <row r="915" ht="12.75" customHeight="1" x14ac:dyDescent="0.25"/>
    <row r="916" ht="12.75" customHeight="1" x14ac:dyDescent="0.25"/>
    <row r="917" ht="12.75" customHeight="1" x14ac:dyDescent="0.25"/>
    <row r="918" ht="12.75" customHeight="1" x14ac:dyDescent="0.25"/>
    <row r="919" ht="12.75" customHeight="1" x14ac:dyDescent="0.25"/>
    <row r="920" ht="12.75" customHeight="1" x14ac:dyDescent="0.25"/>
    <row r="921" ht="12.75" customHeight="1" x14ac:dyDescent="0.25"/>
    <row r="922" ht="12.75" customHeight="1" x14ac:dyDescent="0.25"/>
    <row r="923" ht="12.75" customHeight="1" x14ac:dyDescent="0.25"/>
    <row r="924" ht="12.75" customHeight="1" x14ac:dyDescent="0.25"/>
    <row r="925" ht="12.75" customHeight="1" x14ac:dyDescent="0.25"/>
    <row r="926" ht="12.75" customHeight="1" x14ac:dyDescent="0.25"/>
    <row r="927" ht="12.75" customHeight="1" x14ac:dyDescent="0.25"/>
    <row r="928" ht="12.75" customHeight="1" x14ac:dyDescent="0.25"/>
    <row r="929" ht="12.75" customHeight="1" x14ac:dyDescent="0.25"/>
    <row r="930" ht="12.75" customHeight="1" x14ac:dyDescent="0.25"/>
    <row r="931" ht="12.75" customHeight="1" x14ac:dyDescent="0.25"/>
    <row r="932" ht="12.75" customHeight="1" x14ac:dyDescent="0.25"/>
    <row r="933" ht="12.75" customHeight="1" x14ac:dyDescent="0.25"/>
    <row r="934" ht="12.75" customHeight="1" x14ac:dyDescent="0.25"/>
    <row r="935" ht="12.75" customHeight="1" x14ac:dyDescent="0.25"/>
    <row r="936" ht="12.75" customHeight="1" x14ac:dyDescent="0.25"/>
    <row r="937" ht="12.75" customHeight="1" x14ac:dyDescent="0.25"/>
    <row r="938" ht="12.75" customHeight="1" x14ac:dyDescent="0.25"/>
    <row r="939" ht="12.75" customHeight="1" x14ac:dyDescent="0.25"/>
    <row r="940" ht="12.75" customHeight="1" x14ac:dyDescent="0.25"/>
    <row r="941" ht="12.75" customHeight="1" x14ac:dyDescent="0.25"/>
    <row r="942" ht="12.75" customHeight="1" x14ac:dyDescent="0.25"/>
    <row r="943" ht="12.75" customHeight="1" x14ac:dyDescent="0.25"/>
    <row r="944" ht="12.75" customHeight="1" x14ac:dyDescent="0.25"/>
    <row r="945" ht="12.75" customHeight="1" x14ac:dyDescent="0.25"/>
    <row r="946" ht="12.75" customHeight="1" x14ac:dyDescent="0.25"/>
    <row r="947" ht="12.75" customHeight="1" x14ac:dyDescent="0.25"/>
    <row r="948" ht="12.75" customHeight="1" x14ac:dyDescent="0.25"/>
    <row r="949" ht="12.75" customHeight="1" x14ac:dyDescent="0.25"/>
    <row r="950" ht="12.75" customHeight="1" x14ac:dyDescent="0.25"/>
    <row r="951" ht="12.75" customHeight="1" x14ac:dyDescent="0.25"/>
    <row r="952" ht="12.75" customHeight="1" x14ac:dyDescent="0.25"/>
    <row r="953" ht="12.75" customHeight="1" x14ac:dyDescent="0.25"/>
    <row r="954" ht="12.75" customHeight="1" x14ac:dyDescent="0.25"/>
    <row r="955" ht="12.75" customHeight="1" x14ac:dyDescent="0.25"/>
    <row r="956" ht="12.75" customHeight="1" x14ac:dyDescent="0.25"/>
    <row r="957" ht="12.75" customHeight="1" x14ac:dyDescent="0.25"/>
    <row r="958" ht="12.75" customHeight="1" x14ac:dyDescent="0.25"/>
    <row r="959" ht="12.75" customHeight="1" x14ac:dyDescent="0.25"/>
    <row r="960" ht="12.75" customHeight="1" x14ac:dyDescent="0.25"/>
    <row r="961" ht="12.75" customHeight="1" x14ac:dyDescent="0.25"/>
    <row r="962" ht="12.75" customHeight="1" x14ac:dyDescent="0.25"/>
    <row r="963" ht="12.75" customHeight="1" x14ac:dyDescent="0.25"/>
    <row r="964" ht="12.75" customHeight="1" x14ac:dyDescent="0.25"/>
    <row r="965" ht="12.75" customHeight="1" x14ac:dyDescent="0.25"/>
    <row r="966" ht="12.75" customHeight="1" x14ac:dyDescent="0.25"/>
    <row r="967" ht="12.75" customHeight="1" x14ac:dyDescent="0.25"/>
    <row r="968" ht="12.75" customHeight="1" x14ac:dyDescent="0.25"/>
    <row r="969" ht="12.75" customHeight="1" x14ac:dyDescent="0.25"/>
    <row r="970" ht="12.75" customHeight="1" x14ac:dyDescent="0.25"/>
    <row r="971" ht="12.75" customHeight="1" x14ac:dyDescent="0.25"/>
    <row r="972" ht="12.75" customHeight="1" x14ac:dyDescent="0.25"/>
    <row r="973" ht="12.75" customHeight="1" x14ac:dyDescent="0.25"/>
    <row r="974" ht="12.75" customHeight="1" x14ac:dyDescent="0.25"/>
    <row r="975" ht="12.75" customHeight="1" x14ac:dyDescent="0.25"/>
    <row r="976" ht="12.75" customHeight="1" x14ac:dyDescent="0.25"/>
    <row r="977" ht="12.75" customHeight="1" x14ac:dyDescent="0.25"/>
    <row r="978" ht="12.75" customHeight="1" x14ac:dyDescent="0.25"/>
    <row r="979" ht="12.75" customHeight="1" x14ac:dyDescent="0.25"/>
    <row r="980" ht="12.75" customHeight="1" x14ac:dyDescent="0.25"/>
    <row r="981" ht="12.75" customHeight="1" x14ac:dyDescent="0.25"/>
    <row r="982" ht="12.75" customHeight="1" x14ac:dyDescent="0.25"/>
    <row r="983" ht="12.75" customHeight="1" x14ac:dyDescent="0.25"/>
    <row r="984" ht="12.75" customHeight="1" x14ac:dyDescent="0.25"/>
    <row r="985" ht="12.75" customHeight="1" x14ac:dyDescent="0.25"/>
    <row r="986" ht="12.75" customHeight="1" x14ac:dyDescent="0.25"/>
    <row r="987" ht="12.75" customHeight="1" x14ac:dyDescent="0.25"/>
    <row r="988" ht="12.75" customHeight="1" x14ac:dyDescent="0.25"/>
    <row r="989" ht="12.75" customHeight="1" x14ac:dyDescent="0.25"/>
    <row r="990" ht="12.75" customHeight="1" x14ac:dyDescent="0.25"/>
    <row r="991" ht="12.75" customHeight="1" x14ac:dyDescent="0.25"/>
    <row r="992" ht="12.75" customHeight="1" x14ac:dyDescent="0.25"/>
    <row r="993" ht="12.75" customHeight="1" x14ac:dyDescent="0.25"/>
    <row r="994" ht="12.75" customHeight="1" x14ac:dyDescent="0.25"/>
    <row r="995" ht="12.75" customHeight="1" x14ac:dyDescent="0.25"/>
    <row r="996" ht="12.75" customHeight="1" x14ac:dyDescent="0.25"/>
    <row r="997" ht="12.75" customHeight="1" x14ac:dyDescent="0.25"/>
    <row r="998" ht="12.75" customHeight="1" x14ac:dyDescent="0.25"/>
    <row r="999" ht="12.75" customHeight="1" x14ac:dyDescent="0.25"/>
    <row r="1000" ht="12.75" customHeight="1" x14ac:dyDescent="0.25"/>
  </sheetData>
  <mergeCells count="3">
    <mergeCell ref="C2:E2"/>
    <mergeCell ref="G2:I2"/>
    <mergeCell ref="K2:M2"/>
  </mergeCells>
  <pageMargins left="0.7" right="0.7" top="0.75" bottom="0.75" header="0" footer="0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FB07EAF91C5B4C82121B7C3CF04936" ma:contentTypeVersion="16" ma:contentTypeDescription="Crée un document." ma:contentTypeScope="" ma:versionID="59a6f42f9db46102a1dde0fc6e5e19e8">
  <xsd:schema xmlns:xsd="http://www.w3.org/2001/XMLSchema" xmlns:xs="http://www.w3.org/2001/XMLSchema" xmlns:p="http://schemas.microsoft.com/office/2006/metadata/properties" xmlns:ns2="dea40994-8253-4ce7-b671-624da6da63b5" xmlns:ns3="42f7426d-460a-433c-9f53-26f148e10290" targetNamespace="http://schemas.microsoft.com/office/2006/metadata/properties" ma:root="true" ma:fieldsID="962f591ce740250bfa8a0e11001ff3b8" ns2:_="" ns3:_="">
    <xsd:import namespace="dea40994-8253-4ce7-b671-624da6da63b5"/>
    <xsd:import namespace="42f7426d-460a-433c-9f53-26f148e102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_Flow_SignoffStatu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a40994-8253-4ce7-b671-624da6da63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83d0b4d8-5c5f-4185-942c-a9d3a023e7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21" nillable="true" ma:displayName="État de validation" ma:internalName="_x00c9_tat_x0020_de_x0020_validation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f7426d-460a-433c-9f53-26f148e1029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dab4cbb3-1fb0-4522-9371-c65d6a1dfbf7}" ma:internalName="TaxCatchAll" ma:showField="CatchAllData" ma:web="42f7426d-460a-433c-9f53-26f148e102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dea40994-8253-4ce7-b671-624da6da63b5" xsi:nil="true"/>
    <TaxCatchAll xmlns="42f7426d-460a-433c-9f53-26f148e10290" xsi:nil="true"/>
    <lcf76f155ced4ddcb4097134ff3c332f xmlns="dea40994-8253-4ce7-b671-624da6da63b5">
      <Terms xmlns="http://schemas.microsoft.com/office/infopath/2007/PartnerControls"/>
    </lcf76f155ced4ddcb4097134ff3c332f>
    <SharedWithUsers xmlns="42f7426d-460a-433c-9f53-26f148e10290">
      <UserInfo>
        <DisplayName>Moises Albanes</DisplayName>
        <AccountId>697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7198DBB-72D6-4D05-A744-9CE0799C111F}"/>
</file>

<file path=customXml/itemProps2.xml><?xml version="1.0" encoding="utf-8"?>
<ds:datastoreItem xmlns:ds="http://schemas.openxmlformats.org/officeDocument/2006/customXml" ds:itemID="{033601C2-BFB5-493F-A03C-12D08DA17507}">
  <ds:schemaRefs>
    <ds:schemaRef ds:uri="http://purl.org/dc/elements/1.1/"/>
    <ds:schemaRef ds:uri="http://purl.org/dc/terms/"/>
    <ds:schemaRef ds:uri="dea40994-8253-4ce7-b671-624da6da63b5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42f7426d-460a-433c-9f53-26f148e10290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40CE9A7-AC08-476E-AE2A-E3A4671C7DF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Life Cycle Costing</vt:lpstr>
      <vt:lpstr>Summary Results</vt:lpstr>
      <vt:lpstr>Detailed Results</vt:lpstr>
      <vt:lpstr>discrate</vt:lpstr>
      <vt:lpstr>eirate</vt:lpstr>
      <vt:lpstr>horizon</vt:lpstr>
      <vt:lpstr>Main</vt:lpstr>
      <vt:lpstr>oirate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Stephen Dixon</dc:creator>
  <cp:keywords/>
  <dc:description/>
  <cp:lastModifiedBy>Stephen Dixon</cp:lastModifiedBy>
  <cp:revision/>
  <dcterms:created xsi:type="dcterms:W3CDTF">2012-12-04T18:06:18Z</dcterms:created>
  <dcterms:modified xsi:type="dcterms:W3CDTF">2024-02-28T17:59:05Z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0x01010011FB07EAF91C5B4C82121B7C3CF04936</vt:lpwstr>
  </property>
  <property fmtid="{D5CDD505-2E9C-101B-9397-08002B2CF9AE}" pid="3" name="MediaServiceImageTags">
    <vt:lpwstr/>
  </property>
</Properties>
</file>